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drawings/drawing11.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F1\Nya Webben\Uppdateringar\2025\"/>
    </mc:Choice>
  </mc:AlternateContent>
  <xr:revisionPtr revIDLastSave="0" documentId="13_ncr:1_{7CFEC3AC-53E6-4B6B-8F8D-976F94D1447F}" xr6:coauthVersionLast="47" xr6:coauthVersionMax="47" xr10:uidLastSave="{00000000-0000-0000-0000-000000000000}"/>
  <bookViews>
    <workbookView xWindow="-120" yWindow="-120" windowWidth="29040" windowHeight="17520" tabRatio="907" firstSheet="2" activeTab="2" xr2:uid="{00000000-000D-0000-FFFF-FFFF00000000}"/>
  </bookViews>
  <sheets>
    <sheet name="Versioner" sheetId="24" state="hidden" r:id="rId1"/>
    <sheet name="Tabell 330" sheetId="36" state="hidden" r:id="rId2"/>
    <sheet name="Överföringar totalt" sheetId="30" r:id="rId3"/>
    <sheet name="Lsandelar totalt" sheetId="12" r:id="rId4"/>
    <sheet name="Kompensationer år 2025" sheetId="35" r:id="rId5"/>
    <sheet name="Slutreglering 2023 samfunds." sheetId="37" r:id="rId6"/>
    <sheet name="Slutreglering 2023 grundavdrag" sheetId="39" r:id="rId7"/>
    <sheet name="Slureglering 2023 reseavdrag " sheetId="38" r:id="rId8"/>
    <sheet name="Lsandelar jmf" sheetId="22" state="hidden" r:id="rId9"/>
    <sheet name="Övergång" sheetId="20" state="hidden" r:id="rId10"/>
    <sheet name="Skattekomplettering" sheetId="3" state="hidden" r:id="rId11"/>
    <sheet name="Statistik" sheetId="23" r:id="rId12"/>
    <sheet name="Olika tabeller" sheetId="25" r:id="rId13"/>
    <sheet name="Skattekompl data" sheetId="29" r:id="rId14"/>
    <sheet name="Basbelopp" sheetId="15" r:id="rId15"/>
    <sheet name="Skola, STR &amp; Spcfr" sheetId="5" r:id="rId16"/>
    <sheet name="Skola data" sheetId="6" r:id="rId17"/>
    <sheet name="STR" sheetId="11" r:id="rId18"/>
    <sheet name="Förb" sheetId="32" r:id="rId19"/>
    <sheet name="Grvux" sheetId="31" r:id="rId20"/>
    <sheet name="Specialfritids" sheetId="28" r:id="rId21"/>
    <sheet name="Barnomsorg" sheetId="27" r:id="rId22"/>
    <sheet name="Sociala" sheetId="7" r:id="rId23"/>
    <sheet name="Socvård+barnomsorg data" sheetId="8" r:id="rId24"/>
    <sheet name="Soctjänst data" sheetId="14" r:id="rId25"/>
    <sheet name="Kultur&amp;Medis" sheetId="9" state="hidden" r:id="rId26"/>
    <sheet name="Kultur data" sheetId="10" r:id="rId27"/>
    <sheet name="Invånare" sheetId="21" r:id="rId28"/>
    <sheet name="Basbeloppsberäkning " sheetId="33" r:id="rId29"/>
    <sheet name="Index-beskrivning" sheetId="34" r:id="rId30"/>
  </sheets>
  <externalReferences>
    <externalReference r:id="rId31"/>
    <externalReference r:id="rId32"/>
    <externalReference r:id="rId33"/>
  </externalReferences>
  <definedNames>
    <definedName name="December">'Kompensationer år 2025'!$F$91:$U$91</definedName>
    <definedName name="fasta">'[1]Av Dreyer'!$D$139</definedName>
    <definedName name="inter1">'[1]Av Dreyer'!$D$31</definedName>
    <definedName name="inter11">'[1]Av Dreyer'!$D$68</definedName>
    <definedName name="inter12">'[1]Av Dreyer'!$D$69</definedName>
    <definedName name="inter13">'[1]Av Dreyer'!$D$70</definedName>
    <definedName name="inter14">'[1]Av Dreyer'!$D$71</definedName>
    <definedName name="inter15">'[1]Av Dreyer'!$D$72</definedName>
    <definedName name="inter16">'[1]Av Dreyer'!$D$73</definedName>
    <definedName name="inter181">'[1]Av Dreyer'!$D$106</definedName>
    <definedName name="inter182">'[1]Av Dreyer'!$D$107</definedName>
    <definedName name="inter183">'[1]Av Dreyer'!$D$108</definedName>
    <definedName name="inter184">'[1]Av Dreyer'!$D$109</definedName>
    <definedName name="inter185">'[1]Av Dreyer'!$D$110</definedName>
    <definedName name="inter186">'[1]Av Dreyer'!$D$111</definedName>
    <definedName name="inter2">'[1]Av Dreyer'!$D$32</definedName>
    <definedName name="inter3">'[1]Av Dreyer'!$D$33</definedName>
    <definedName name="inter4">'[1]Av Dreyer'!$D$34</definedName>
    <definedName name="inter5">'[1]Av Dreyer'!$D$35</definedName>
    <definedName name="inter6">'[1]Av Dreyer'!$D$36</definedName>
    <definedName name="jannov">'Kompensationer år 2025'!$F$82:$U$82</definedName>
    <definedName name="Minskning">#REF!</definedName>
    <definedName name="skär">'[1]Av Dreyer'!$D$140</definedName>
    <definedName name="_xlnm.Print_Area" localSheetId="21">Barnomsorg!$A$1:$I$23</definedName>
    <definedName name="_xlnm.Print_Area" localSheetId="14">Basbelopp!$A$1:$L$40</definedName>
    <definedName name="_xlnm.Print_Area" localSheetId="18">Förb!$A$1:$E$29</definedName>
    <definedName name="_xlnm.Print_Area" localSheetId="19">Grvux!$A$1:$E$29</definedName>
    <definedName name="_xlnm.Print_Area" localSheetId="27">Invånare!$A$1:$J$44</definedName>
    <definedName name="_xlnm.Print_Area" localSheetId="26">'Kultur data'!$A$1:$H$33</definedName>
    <definedName name="_xlnm.Print_Area" localSheetId="25">'Kultur&amp;Medis'!$A$1:$I$27</definedName>
    <definedName name="_xlnm.Print_Area" localSheetId="8">'Lsandelar jmf'!$A$1:$AC$26</definedName>
    <definedName name="_xlnm.Print_Area" localSheetId="3">'Lsandelar totalt'!$A$1:$K$38</definedName>
    <definedName name="_xlnm.Print_Area" localSheetId="13">'Skattekompl data'!$A$1:$J$230</definedName>
    <definedName name="_xlnm.Print_Area" localSheetId="10">Skattekomplettering!$A$1:$H$29</definedName>
    <definedName name="_xlnm.Print_Area" localSheetId="16">'Skola data'!$A$1:$M$135</definedName>
    <definedName name="_xlnm.Print_Area" localSheetId="15">'Skola, STR &amp; Spcfr'!$A$1:$I$27</definedName>
    <definedName name="_xlnm.Print_Area" localSheetId="7">'Slureglering 2023 reseavdrag '!$A$15:$M$50</definedName>
    <definedName name="_xlnm.Print_Area" localSheetId="6">'Slutreglering 2023 grundavdrag'!$A$15:$K$50</definedName>
    <definedName name="_xlnm.Print_Area" localSheetId="22">Sociala!$A$1:$I$23</definedName>
    <definedName name="_xlnm.Print_Area" localSheetId="24">'Soctjänst data'!#REF!</definedName>
    <definedName name="_xlnm.Print_Area" localSheetId="23">'Socvård+barnomsorg data'!$A$1:$G$80</definedName>
    <definedName name="_xlnm.Print_Area" localSheetId="20">Specialfritids!$A$1:$E$29</definedName>
    <definedName name="_xlnm.Print_Area" localSheetId="17">STR!$A$1:$E$29</definedName>
    <definedName name="_xlnm.Print_Area" localSheetId="2">'Överföringar totalt'!$B$1:$K$25</definedName>
    <definedName name="_xlnm.Print_Area" localSheetId="9">Övergång!$A$1:$Q$58</definedName>
    <definedName name="ytt">'[1]Av Dreyer'!$D$141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30" l="1"/>
  <c r="N25" i="30"/>
  <c r="L78" i="39"/>
  <c r="L77" i="39"/>
  <c r="L76" i="39"/>
  <c r="L75" i="39"/>
  <c r="L74" i="39"/>
  <c r="L73" i="39"/>
  <c r="L72" i="39"/>
  <c r="L71" i="39"/>
  <c r="L70" i="39"/>
  <c r="L69" i="39"/>
  <c r="L68" i="39"/>
  <c r="L67" i="39"/>
  <c r="L66" i="39"/>
  <c r="L65" i="39"/>
  <c r="L64" i="39"/>
  <c r="L63" i="39"/>
  <c r="L62" i="39"/>
  <c r="I52" i="39"/>
  <c r="K49" i="39"/>
  <c r="G49" i="39"/>
  <c r="E49" i="39"/>
  <c r="K47" i="39"/>
  <c r="E47" i="39"/>
  <c r="G47" i="39" s="1"/>
  <c r="K45" i="39"/>
  <c r="E45" i="39"/>
  <c r="G45" i="39" s="1"/>
  <c r="K43" i="39"/>
  <c r="E43" i="39"/>
  <c r="G43" i="39" s="1"/>
  <c r="K41" i="39"/>
  <c r="G41" i="39"/>
  <c r="E41" i="39"/>
  <c r="K39" i="39"/>
  <c r="E39" i="39"/>
  <c r="G39" i="39" s="1"/>
  <c r="K37" i="39"/>
  <c r="E37" i="39"/>
  <c r="G37" i="39" s="1"/>
  <c r="K35" i="39"/>
  <c r="E35" i="39"/>
  <c r="G35" i="39" s="1"/>
  <c r="K33" i="39"/>
  <c r="G33" i="39"/>
  <c r="E33" i="39"/>
  <c r="K31" i="39"/>
  <c r="E31" i="39"/>
  <c r="G31" i="39" s="1"/>
  <c r="K29" i="39"/>
  <c r="E29" i="39"/>
  <c r="G29" i="39" s="1"/>
  <c r="K27" i="39"/>
  <c r="E27" i="39"/>
  <c r="G27" i="39" s="1"/>
  <c r="K25" i="39"/>
  <c r="G25" i="39"/>
  <c r="E25" i="39"/>
  <c r="K23" i="39"/>
  <c r="E23" i="39"/>
  <c r="G23" i="39" s="1"/>
  <c r="K21" i="39"/>
  <c r="E21" i="39"/>
  <c r="G21" i="39" s="1"/>
  <c r="K19" i="39"/>
  <c r="E19" i="39"/>
  <c r="E17" i="39" s="1"/>
  <c r="G17" i="39" s="1"/>
  <c r="P59" i="38"/>
  <c r="O58" i="38"/>
  <c r="O57" i="38"/>
  <c r="O59" i="38" s="1"/>
  <c r="Q57" i="38" s="1"/>
  <c r="O54" i="38"/>
  <c r="O53" i="38"/>
  <c r="M49" i="38"/>
  <c r="E49" i="38"/>
  <c r="G49" i="38" s="1"/>
  <c r="M47" i="38"/>
  <c r="G47" i="38"/>
  <c r="E47" i="38"/>
  <c r="E45" i="38"/>
  <c r="G45" i="38" s="1"/>
  <c r="M43" i="38"/>
  <c r="E43" i="38"/>
  <c r="G43" i="38" s="1"/>
  <c r="M41" i="38"/>
  <c r="E41" i="38"/>
  <c r="G41" i="38" s="1"/>
  <c r="M39" i="38"/>
  <c r="E39" i="38"/>
  <c r="G39" i="38" s="1"/>
  <c r="M37" i="38"/>
  <c r="E37" i="38"/>
  <c r="G37" i="38" s="1"/>
  <c r="G35" i="38"/>
  <c r="E35" i="38"/>
  <c r="M33" i="38"/>
  <c r="E33" i="38"/>
  <c r="G33" i="38" s="1"/>
  <c r="M31" i="38"/>
  <c r="E31" i="38"/>
  <c r="G31" i="38" s="1"/>
  <c r="M29" i="38"/>
  <c r="G29" i="38"/>
  <c r="E29" i="38"/>
  <c r="M27" i="38"/>
  <c r="G27" i="38"/>
  <c r="E27" i="38"/>
  <c r="M25" i="38"/>
  <c r="E25" i="38"/>
  <c r="G25" i="38" s="1"/>
  <c r="M23" i="38"/>
  <c r="E23" i="38"/>
  <c r="G23" i="38" s="1"/>
  <c r="M21" i="38"/>
  <c r="G21" i="38"/>
  <c r="E21" i="38"/>
  <c r="M19" i="38"/>
  <c r="G19" i="38"/>
  <c r="G17" i="38" s="1"/>
  <c r="E19" i="38"/>
  <c r="G19" i="39" l="1"/>
  <c r="K17" i="39"/>
  <c r="L39" i="39" s="1"/>
  <c r="M39" i="39" s="1"/>
  <c r="Q58" i="38"/>
  <c r="Q59" i="38"/>
  <c r="K35" i="38"/>
  <c r="O55" i="38"/>
  <c r="E17" i="38"/>
  <c r="L43" i="39" l="1"/>
  <c r="M43" i="39" s="1"/>
  <c r="L29" i="39"/>
  <c r="M29" i="39" s="1"/>
  <c r="L37" i="39"/>
  <c r="M37" i="39" s="1"/>
  <c r="L21" i="39"/>
  <c r="M21" i="39" s="1"/>
  <c r="L45" i="39"/>
  <c r="M45" i="39" s="1"/>
  <c r="L27" i="39"/>
  <c r="M27" i="39" s="1"/>
  <c r="L19" i="39"/>
  <c r="L23" i="39"/>
  <c r="M23" i="39" s="1"/>
  <c r="L35" i="39"/>
  <c r="M35" i="39" s="1"/>
  <c r="L41" i="39"/>
  <c r="M41" i="39" s="1"/>
  <c r="L47" i="39"/>
  <c r="M47" i="39" s="1"/>
  <c r="L25" i="39"/>
  <c r="M25" i="39" s="1"/>
  <c r="L49" i="39"/>
  <c r="M49" i="39" s="1"/>
  <c r="L33" i="39"/>
  <c r="M33" i="39" s="1"/>
  <c r="L31" i="39"/>
  <c r="M31" i="39" s="1"/>
  <c r="M35" i="38"/>
  <c r="K45" i="38"/>
  <c r="M45" i="38" s="1"/>
  <c r="M19" i="39" l="1"/>
  <c r="L17" i="39"/>
  <c r="K51" i="38"/>
  <c r="M17" i="38"/>
  <c r="P54" i="38"/>
  <c r="Q54" i="38" s="1"/>
  <c r="M51" i="39" l="1"/>
  <c r="M17" i="39"/>
  <c r="M52" i="39" s="1"/>
  <c r="N33" i="38"/>
  <c r="O33" i="38" s="1"/>
  <c r="H33" i="38" s="1"/>
  <c r="N25" i="38"/>
  <c r="O25" i="38" s="1"/>
  <c r="H25" i="38" s="1"/>
  <c r="N39" i="38"/>
  <c r="O39" i="38" s="1"/>
  <c r="H39" i="38" s="1"/>
  <c r="N41" i="38"/>
  <c r="O41" i="38" s="1"/>
  <c r="H41" i="38" s="1"/>
  <c r="N31" i="38"/>
  <c r="O31" i="38" s="1"/>
  <c r="H31" i="38" s="1"/>
  <c r="N21" i="38"/>
  <c r="O21" i="38" s="1"/>
  <c r="H21" i="38" s="1"/>
  <c r="N23" i="38"/>
  <c r="O23" i="38" s="1"/>
  <c r="H23" i="38" s="1"/>
  <c r="N19" i="38"/>
  <c r="N27" i="38"/>
  <c r="O27" i="38" s="1"/>
  <c r="H27" i="38" s="1"/>
  <c r="N37" i="38"/>
  <c r="O37" i="38" s="1"/>
  <c r="H37" i="38" s="1"/>
  <c r="N29" i="38"/>
  <c r="O29" i="38" s="1"/>
  <c r="H29" i="38" s="1"/>
  <c r="N43" i="38"/>
  <c r="O43" i="38" s="1"/>
  <c r="H43" i="38" s="1"/>
  <c r="N49" i="38"/>
  <c r="O49" i="38" s="1"/>
  <c r="H49" i="38" s="1"/>
  <c r="N47" i="38"/>
  <c r="O47" i="38" s="1"/>
  <c r="H47" i="38" s="1"/>
  <c r="N35" i="38"/>
  <c r="O35" i="38" s="1"/>
  <c r="H35" i="38" s="1"/>
  <c r="N45" i="38"/>
  <c r="O45" i="38" s="1"/>
  <c r="H45" i="38" s="1"/>
  <c r="N17" i="38" l="1"/>
  <c r="O19" i="38"/>
  <c r="O17" i="38" l="1"/>
  <c r="H17" i="38" s="1"/>
  <c r="H19" i="38"/>
  <c r="G246" i="35" l="1"/>
  <c r="I230" i="35"/>
  <c r="H46" i="29" l="1"/>
  <c r="B56" i="37" l="1"/>
  <c r="D61" i="37" s="1"/>
  <c r="B63" i="37" s="1"/>
  <c r="C124" i="29"/>
  <c r="B50" i="37" l="1"/>
  <c r="D20" i="37"/>
  <c r="D27" i="37" s="1"/>
  <c r="C16" i="37"/>
  <c r="C18" i="37" s="1"/>
  <c r="C20" i="37" s="1"/>
  <c r="C36" i="37" l="1"/>
  <c r="C37" i="37" s="1"/>
  <c r="C33" i="37"/>
  <c r="C34" i="37" s="1"/>
  <c r="C27" i="37"/>
  <c r="F27" i="37" s="1"/>
  <c r="B49" i="37"/>
  <c r="D80" i="37" l="1"/>
  <c r="D76" i="37"/>
  <c r="D72" i="37"/>
  <c r="D68" i="37"/>
  <c r="D84" i="37"/>
  <c r="D79" i="37"/>
  <c r="D75" i="37"/>
  <c r="D71" i="37"/>
  <c r="B51" i="37"/>
  <c r="D78" i="37"/>
  <c r="D74" i="37"/>
  <c r="D70" i="37"/>
  <c r="D81" i="37"/>
  <c r="D77" i="37"/>
  <c r="D73" i="37"/>
  <c r="D69" i="37"/>
  <c r="D82" i="37"/>
  <c r="D85" i="37" l="1"/>
  <c r="F86" i="37" l="1"/>
  <c r="F85" i="37"/>
  <c r="F80" i="37"/>
  <c r="F76" i="37"/>
  <c r="F72" i="37"/>
  <c r="F68" i="37"/>
  <c r="F84" i="37"/>
  <c r="F79" i="37"/>
  <c r="F75" i="37"/>
  <c r="F71" i="37"/>
  <c r="F78" i="37"/>
  <c r="F74" i="37"/>
  <c r="F70" i="37"/>
  <c r="F81" i="37"/>
  <c r="F77" i="37"/>
  <c r="F73" i="37"/>
  <c r="F69" i="37"/>
  <c r="F83" i="37"/>
  <c r="F82" i="37"/>
  <c r="B124" i="15" l="1"/>
  <c r="P124" i="15" s="1"/>
  <c r="Q125" i="15" s="1"/>
  <c r="O124" i="15"/>
  <c r="AD124" i="15" l="1"/>
  <c r="C138" i="29"/>
  <c r="C139" i="29"/>
  <c r="H428" i="35"/>
  <c r="H429" i="35"/>
  <c r="H430" i="35"/>
  <c r="H431" i="35"/>
  <c r="H432" i="35"/>
  <c r="H433" i="35"/>
  <c r="H434" i="35"/>
  <c r="H435" i="35"/>
  <c r="H436" i="35"/>
  <c r="H437" i="35"/>
  <c r="H438" i="35"/>
  <c r="H439" i="35"/>
  <c r="H440" i="35"/>
  <c r="H441" i="35"/>
  <c r="H442" i="35"/>
  <c r="H445" i="35"/>
  <c r="H427" i="35"/>
  <c r="D407" i="35"/>
  <c r="D408" i="35" s="1"/>
  <c r="C407" i="35"/>
  <c r="C408" i="35" s="1"/>
  <c r="C401" i="35"/>
  <c r="C390" i="35"/>
  <c r="C392" i="35" s="1"/>
  <c r="B120" i="15"/>
  <c r="L25" i="30" l="1"/>
  <c r="J22" i="30" l="1"/>
  <c r="J21" i="30"/>
  <c r="J20" i="30"/>
  <c r="J19" i="30"/>
  <c r="J18" i="30"/>
  <c r="J17" i="30"/>
  <c r="J16" i="30"/>
  <c r="J15" i="30"/>
  <c r="J14" i="30"/>
  <c r="J13" i="30"/>
  <c r="J12" i="30"/>
  <c r="J11" i="30"/>
  <c r="J10" i="30"/>
  <c r="J9" i="30"/>
  <c r="J8" i="30"/>
  <c r="J7" i="30"/>
  <c r="B26" i="32" l="1"/>
  <c r="B26" i="11"/>
  <c r="B26" i="31" l="1"/>
  <c r="B26" i="28"/>
  <c r="J120" i="15"/>
  <c r="H41" i="12" l="1"/>
  <c r="H43" i="12"/>
  <c r="R66" i="29" l="1"/>
  <c r="D212" i="35" l="1"/>
  <c r="H67" i="29" l="1"/>
  <c r="N67" i="29" s="1"/>
  <c r="B109" i="29" s="1"/>
  <c r="I67" i="29"/>
  <c r="J67" i="29"/>
  <c r="P67" i="29" s="1"/>
  <c r="D109" i="29" s="1"/>
  <c r="AD110" i="29" s="1"/>
  <c r="K67" i="29"/>
  <c r="Q67" i="29" s="1"/>
  <c r="E109" i="29" s="1"/>
  <c r="AE110" i="29" s="1"/>
  <c r="L67" i="29"/>
  <c r="O67" i="29"/>
  <c r="C109" i="29" s="1"/>
  <c r="AC110" i="29" s="1"/>
  <c r="N52" i="29"/>
  <c r="B94" i="29" s="1"/>
  <c r="AB95" i="29" s="1"/>
  <c r="O52" i="29"/>
  <c r="C94" i="29" s="1"/>
  <c r="AC95" i="29" s="1"/>
  <c r="P52" i="29"/>
  <c r="D94" i="29" s="1"/>
  <c r="AD95" i="29" s="1"/>
  <c r="Q52" i="29"/>
  <c r="E94" i="29" s="1"/>
  <c r="AE95" i="29" s="1"/>
  <c r="R52" i="29"/>
  <c r="N53" i="29"/>
  <c r="B95" i="29" s="1"/>
  <c r="AB96" i="29" s="1"/>
  <c r="O53" i="29"/>
  <c r="C95" i="29" s="1"/>
  <c r="AC96" i="29" s="1"/>
  <c r="P53" i="29"/>
  <c r="D95" i="29" s="1"/>
  <c r="AD96" i="29" s="1"/>
  <c r="Q53" i="29"/>
  <c r="E95" i="29" s="1"/>
  <c r="AE96" i="29" s="1"/>
  <c r="R53" i="29"/>
  <c r="F95" i="29" s="1"/>
  <c r="AF96" i="29" s="1"/>
  <c r="N54" i="29"/>
  <c r="B96" i="29" s="1"/>
  <c r="AB97" i="29" s="1"/>
  <c r="O54" i="29"/>
  <c r="C96" i="29" s="1"/>
  <c r="AC97" i="29" s="1"/>
  <c r="P54" i="29"/>
  <c r="D96" i="29" s="1"/>
  <c r="AD97" i="29" s="1"/>
  <c r="Q54" i="29"/>
  <c r="E96" i="29" s="1"/>
  <c r="AE97" i="29" s="1"/>
  <c r="R54" i="29"/>
  <c r="F96" i="29" s="1"/>
  <c r="AF97" i="29" s="1"/>
  <c r="N55" i="29"/>
  <c r="B97" i="29" s="1"/>
  <c r="AB98" i="29" s="1"/>
  <c r="O55" i="29"/>
  <c r="C97" i="29" s="1"/>
  <c r="AC98" i="29" s="1"/>
  <c r="P55" i="29"/>
  <c r="D97" i="29" s="1"/>
  <c r="AD98" i="29" s="1"/>
  <c r="Q55" i="29"/>
  <c r="E97" i="29" s="1"/>
  <c r="AE98" i="29" s="1"/>
  <c r="R55" i="29"/>
  <c r="F97" i="29" s="1"/>
  <c r="AF98" i="29" s="1"/>
  <c r="N56" i="29"/>
  <c r="B98" i="29" s="1"/>
  <c r="AB99" i="29" s="1"/>
  <c r="O56" i="29"/>
  <c r="C98" i="29" s="1"/>
  <c r="AC99" i="29" s="1"/>
  <c r="P56" i="29"/>
  <c r="D98" i="29" s="1"/>
  <c r="AD99" i="29" s="1"/>
  <c r="Q56" i="29"/>
  <c r="E98" i="29" s="1"/>
  <c r="AE99" i="29" s="1"/>
  <c r="R56" i="29"/>
  <c r="F98" i="29" s="1"/>
  <c r="AF99" i="29" s="1"/>
  <c r="N57" i="29"/>
  <c r="B99" i="29" s="1"/>
  <c r="AB100" i="29" s="1"/>
  <c r="O57" i="29"/>
  <c r="C99" i="29" s="1"/>
  <c r="AC100" i="29" s="1"/>
  <c r="P57" i="29"/>
  <c r="D99" i="29" s="1"/>
  <c r="AD100" i="29" s="1"/>
  <c r="Q57" i="29"/>
  <c r="E99" i="29" s="1"/>
  <c r="AE100" i="29" s="1"/>
  <c r="R57" i="29"/>
  <c r="F99" i="29" s="1"/>
  <c r="AF100" i="29" s="1"/>
  <c r="N58" i="29"/>
  <c r="B100" i="29" s="1"/>
  <c r="AB101" i="29" s="1"/>
  <c r="O58" i="29"/>
  <c r="C100" i="29" s="1"/>
  <c r="AC101" i="29" s="1"/>
  <c r="P58" i="29"/>
  <c r="D100" i="29" s="1"/>
  <c r="AD101" i="29" s="1"/>
  <c r="Q58" i="29"/>
  <c r="E100" i="29" s="1"/>
  <c r="AE101" i="29" s="1"/>
  <c r="R58" i="29"/>
  <c r="F100" i="29" s="1"/>
  <c r="AF101" i="29" s="1"/>
  <c r="N59" i="29"/>
  <c r="B101" i="29" s="1"/>
  <c r="AB102" i="29" s="1"/>
  <c r="O59" i="29"/>
  <c r="C101" i="29" s="1"/>
  <c r="AC102" i="29" s="1"/>
  <c r="P59" i="29"/>
  <c r="D101" i="29" s="1"/>
  <c r="AD102" i="29" s="1"/>
  <c r="Q59" i="29"/>
  <c r="E101" i="29" s="1"/>
  <c r="AE102" i="29" s="1"/>
  <c r="R59" i="29"/>
  <c r="F101" i="29" s="1"/>
  <c r="AF102" i="29" s="1"/>
  <c r="N60" i="29"/>
  <c r="B102" i="29" s="1"/>
  <c r="AB103" i="29" s="1"/>
  <c r="O60" i="29"/>
  <c r="C102" i="29" s="1"/>
  <c r="AC103" i="29" s="1"/>
  <c r="P60" i="29"/>
  <c r="D102" i="29" s="1"/>
  <c r="AD103" i="29" s="1"/>
  <c r="Q60" i="29"/>
  <c r="E102" i="29" s="1"/>
  <c r="AE103" i="29" s="1"/>
  <c r="R60" i="29"/>
  <c r="F102" i="29" s="1"/>
  <c r="AF103" i="29" s="1"/>
  <c r="N61" i="29"/>
  <c r="B103" i="29" s="1"/>
  <c r="AB104" i="29" s="1"/>
  <c r="O61" i="29"/>
  <c r="C103" i="29" s="1"/>
  <c r="AC104" i="29" s="1"/>
  <c r="P61" i="29"/>
  <c r="D103" i="29" s="1"/>
  <c r="AD104" i="29" s="1"/>
  <c r="Q61" i="29"/>
  <c r="E103" i="29" s="1"/>
  <c r="AE104" i="29" s="1"/>
  <c r="R61" i="29"/>
  <c r="F103" i="29" s="1"/>
  <c r="AF104" i="29" s="1"/>
  <c r="N62" i="29"/>
  <c r="B108" i="29" s="1"/>
  <c r="AB109" i="29" s="1"/>
  <c r="O62" i="29"/>
  <c r="C108" i="29" s="1"/>
  <c r="AC109" i="29" s="1"/>
  <c r="P62" i="29"/>
  <c r="D108" i="29" s="1"/>
  <c r="AD109" i="29" s="1"/>
  <c r="Q62" i="29"/>
  <c r="E108" i="29" s="1"/>
  <c r="AE109" i="29" s="1"/>
  <c r="R62" i="29"/>
  <c r="F108" i="29" s="1"/>
  <c r="AF109" i="29" s="1"/>
  <c r="N63" i="29"/>
  <c r="B104" i="29" s="1"/>
  <c r="AB105" i="29" s="1"/>
  <c r="O63" i="29"/>
  <c r="C104" i="29" s="1"/>
  <c r="AC105" i="29" s="1"/>
  <c r="P63" i="29"/>
  <c r="D104" i="29" s="1"/>
  <c r="AD105" i="29" s="1"/>
  <c r="Q63" i="29"/>
  <c r="E104" i="29" s="1"/>
  <c r="AE105" i="29" s="1"/>
  <c r="R63" i="29"/>
  <c r="F104" i="29" s="1"/>
  <c r="AF105" i="29" s="1"/>
  <c r="N64" i="29"/>
  <c r="B105" i="29" s="1"/>
  <c r="AB106" i="29" s="1"/>
  <c r="O64" i="29"/>
  <c r="C105" i="29" s="1"/>
  <c r="AC106" i="29" s="1"/>
  <c r="P64" i="29"/>
  <c r="D105" i="29" s="1"/>
  <c r="AD106" i="29" s="1"/>
  <c r="Q64" i="29"/>
  <c r="E105" i="29" s="1"/>
  <c r="AE106" i="29" s="1"/>
  <c r="R64" i="29"/>
  <c r="F105" i="29" s="1"/>
  <c r="AF106" i="29" s="1"/>
  <c r="N65" i="29"/>
  <c r="B106" i="29" s="1"/>
  <c r="AB107" i="29" s="1"/>
  <c r="O65" i="29"/>
  <c r="C106" i="29" s="1"/>
  <c r="AC107" i="29" s="1"/>
  <c r="P65" i="29"/>
  <c r="D106" i="29" s="1"/>
  <c r="AD107" i="29" s="1"/>
  <c r="Q65" i="29"/>
  <c r="E106" i="29" s="1"/>
  <c r="AE107" i="29" s="1"/>
  <c r="R65" i="29"/>
  <c r="F106" i="29" s="1"/>
  <c r="AF107" i="29" s="1"/>
  <c r="N66" i="29"/>
  <c r="B107" i="29" s="1"/>
  <c r="AB108" i="29" s="1"/>
  <c r="O66" i="29"/>
  <c r="C107" i="29" s="1"/>
  <c r="AC108" i="29" s="1"/>
  <c r="P66" i="29"/>
  <c r="D107" i="29" s="1"/>
  <c r="AD108" i="29" s="1"/>
  <c r="Q66" i="29"/>
  <c r="E107" i="29" s="1"/>
  <c r="AE108" i="29" s="1"/>
  <c r="F107" i="29"/>
  <c r="AF108" i="29" s="1"/>
  <c r="O51" i="29"/>
  <c r="C93" i="29" s="1"/>
  <c r="AC94" i="29" s="1"/>
  <c r="P51" i="29"/>
  <c r="D93" i="29" s="1"/>
  <c r="AD94" i="29" s="1"/>
  <c r="Q51" i="29"/>
  <c r="E93" i="29" s="1"/>
  <c r="AE94" i="29" s="1"/>
  <c r="R51" i="29"/>
  <c r="N51" i="29"/>
  <c r="B93" i="29" s="1"/>
  <c r="AB94" i="29" s="1"/>
  <c r="AB110" i="29" l="1"/>
  <c r="F94" i="29"/>
  <c r="G94" i="29" s="1"/>
  <c r="F93" i="29"/>
  <c r="G93" i="29" s="1"/>
  <c r="L108" i="29" s="1"/>
  <c r="W138" i="15"/>
  <c r="AO113" i="15"/>
  <c r="AO112" i="15"/>
  <c r="T114" i="15"/>
  <c r="AF95" i="29" l="1"/>
  <c r="AF94" i="29"/>
  <c r="L114" i="15"/>
  <c r="L116" i="15" s="1"/>
  <c r="K194" i="35" l="1"/>
  <c r="L194" i="35"/>
  <c r="Z140" i="15" l="1"/>
  <c r="Y113" i="15" s="1"/>
  <c r="D124" i="29" l="1"/>
  <c r="F25" i="29"/>
  <c r="I86" i="35" l="1"/>
  <c r="I85" i="35"/>
  <c r="I84" i="35"/>
  <c r="I83" i="35"/>
  <c r="I82" i="35"/>
  <c r="I81" i="35"/>
  <c r="I80" i="35"/>
  <c r="I79" i="35"/>
  <c r="I78" i="35"/>
  <c r="I77" i="35"/>
  <c r="I76" i="35"/>
  <c r="I75" i="35"/>
  <c r="I74" i="35"/>
  <c r="I73" i="35"/>
  <c r="I72" i="35"/>
  <c r="I71" i="35"/>
  <c r="I58" i="35"/>
  <c r="I57" i="35"/>
  <c r="I56" i="35"/>
  <c r="I55" i="35"/>
  <c r="I54" i="35"/>
  <c r="I53" i="35"/>
  <c r="I52" i="35"/>
  <c r="I51" i="35"/>
  <c r="I50" i="35"/>
  <c r="I49" i="35"/>
  <c r="I48" i="35"/>
  <c r="I47" i="35"/>
  <c r="I46" i="35"/>
  <c r="I45" i="35"/>
  <c r="I44" i="35"/>
  <c r="I43" i="35"/>
  <c r="E25" i="35"/>
  <c r="D25" i="35"/>
  <c r="K22" i="35"/>
  <c r="G22" i="35"/>
  <c r="L22" i="35" s="1"/>
  <c r="K21" i="35"/>
  <c r="G21" i="35"/>
  <c r="L21" i="35" s="1"/>
  <c r="K20" i="35"/>
  <c r="G20" i="35"/>
  <c r="L20" i="35" s="1"/>
  <c r="K19" i="35"/>
  <c r="G19" i="35"/>
  <c r="L19" i="35" s="1"/>
  <c r="K18" i="35"/>
  <c r="G18" i="35"/>
  <c r="L18" i="35" s="1"/>
  <c r="K17" i="35"/>
  <c r="G17" i="35"/>
  <c r="L17" i="35" s="1"/>
  <c r="L16" i="35"/>
  <c r="K16" i="35"/>
  <c r="G16" i="35"/>
  <c r="K15" i="35"/>
  <c r="G15" i="35"/>
  <c r="L15" i="35" s="1"/>
  <c r="K14" i="35"/>
  <c r="G14" i="35"/>
  <c r="L14" i="35" s="1"/>
  <c r="K13" i="35"/>
  <c r="G13" i="35"/>
  <c r="L13" i="35" s="1"/>
  <c r="K12" i="35"/>
  <c r="G12" i="35"/>
  <c r="L12" i="35" s="1"/>
  <c r="K11" i="35"/>
  <c r="G11" i="35"/>
  <c r="L11" i="35" s="1"/>
  <c r="K10" i="35"/>
  <c r="G10" i="35"/>
  <c r="L10" i="35" s="1"/>
  <c r="K9" i="35"/>
  <c r="G9" i="35"/>
  <c r="L9" i="35" s="1"/>
  <c r="K8" i="35"/>
  <c r="G8" i="35"/>
  <c r="L8" i="35" s="1"/>
  <c r="K7" i="35"/>
  <c r="G7" i="35"/>
  <c r="L7" i="35" s="1"/>
  <c r="W143" i="15"/>
  <c r="Y114" i="15" s="1"/>
  <c r="AI113" i="15"/>
  <c r="AH113" i="15"/>
  <c r="AG113" i="15"/>
  <c r="F109" i="6"/>
  <c r="F85" i="6"/>
  <c r="F79" i="6"/>
  <c r="F37" i="6"/>
  <c r="I88" i="35" l="1"/>
  <c r="I60" i="35"/>
  <c r="G25" i="35"/>
  <c r="L25" i="35" s="1"/>
  <c r="K25" i="35"/>
  <c r="F92" i="21"/>
  <c r="E92" i="21"/>
  <c r="D92" i="21"/>
  <c r="C92" i="21"/>
  <c r="B92" i="21"/>
  <c r="F71" i="21"/>
  <c r="B71" i="21"/>
  <c r="W140" i="15"/>
  <c r="Y112" i="15" s="1"/>
  <c r="B116" i="15"/>
  <c r="AU131" i="15" s="1"/>
  <c r="W100" i="15"/>
  <c r="Y71" i="15" s="1"/>
  <c r="Z97" i="15"/>
  <c r="Y70" i="15" s="1"/>
  <c r="W97" i="15"/>
  <c r="Y69" i="15" s="1"/>
  <c r="O81" i="15"/>
  <c r="B81" i="15"/>
  <c r="P81" i="15" s="1"/>
  <c r="AU80" i="15"/>
  <c r="T78" i="15"/>
  <c r="O77" i="15"/>
  <c r="J77" i="15"/>
  <c r="B77" i="15"/>
  <c r="AU88" i="15" s="1"/>
  <c r="AU76" i="15"/>
  <c r="AT76" i="15"/>
  <c r="O73" i="15"/>
  <c r="B73" i="15"/>
  <c r="AU84" i="15" s="1"/>
  <c r="AU72" i="15"/>
  <c r="AW73" i="15" s="1"/>
  <c r="AT72" i="15"/>
  <c r="L71" i="15"/>
  <c r="L73" i="15" s="1"/>
  <c r="AO70" i="15"/>
  <c r="AO69" i="15"/>
  <c r="AO79" i="15" s="1"/>
  <c r="AK70" i="15" s="1"/>
  <c r="AO68" i="15"/>
  <c r="AO78" i="15" s="1"/>
  <c r="AE70" i="15" s="1"/>
  <c r="G156" i="29"/>
  <c r="G180" i="29"/>
  <c r="D182" i="29"/>
  <c r="D183" i="29"/>
  <c r="D184" i="29"/>
  <c r="D185" i="29"/>
  <c r="D186" i="29"/>
  <c r="D187" i="29"/>
  <c r="D188" i="29"/>
  <c r="D189" i="29"/>
  <c r="D190" i="29"/>
  <c r="D191" i="29"/>
  <c r="D192" i="29"/>
  <c r="D193" i="29"/>
  <c r="D194" i="29"/>
  <c r="D195" i="29"/>
  <c r="D196" i="29"/>
  <c r="D181" i="29"/>
  <c r="D158" i="29"/>
  <c r="D159" i="29"/>
  <c r="D160" i="29"/>
  <c r="D161" i="29"/>
  <c r="D162" i="29"/>
  <c r="D163" i="29"/>
  <c r="D164" i="29"/>
  <c r="D165" i="29"/>
  <c r="D166" i="29"/>
  <c r="D167" i="29"/>
  <c r="D168" i="29"/>
  <c r="D169" i="29"/>
  <c r="D170" i="29"/>
  <c r="D171" i="29"/>
  <c r="D172" i="29"/>
  <c r="D157" i="29"/>
  <c r="V75" i="15" l="1"/>
  <c r="Y75" i="15" s="1"/>
  <c r="AD73" i="15"/>
  <c r="AW77" i="15"/>
  <c r="P73" i="15"/>
  <c r="T73" i="15"/>
  <c r="Q70" i="15" s="1"/>
  <c r="E69" i="15"/>
  <c r="T79" i="15"/>
  <c r="V79" i="15"/>
  <c r="AD81" i="15"/>
  <c r="V83" i="15"/>
  <c r="AU92" i="15"/>
  <c r="P77" i="15"/>
  <c r="AV73" i="15"/>
  <c r="AV77" i="15" s="1"/>
  <c r="AD77" i="15"/>
  <c r="F67" i="29"/>
  <c r="R67" i="29" s="1"/>
  <c r="F109" i="29" l="1"/>
  <c r="Y74" i="15"/>
  <c r="Y78" i="15" s="1"/>
  <c r="Y82" i="15" s="1"/>
  <c r="Y73" i="15"/>
  <c r="Y77" i="15" s="1"/>
  <c r="Y81" i="15" s="1"/>
  <c r="Q74" i="15"/>
  <c r="Q78" i="15" s="1"/>
  <c r="Q82" i="15" s="1"/>
  <c r="Y79" i="15"/>
  <c r="Y83" i="15" s="1"/>
  <c r="X104" i="15" s="1"/>
  <c r="AE25" i="30"/>
  <c r="AF110" i="29" l="1"/>
  <c r="C118" i="29"/>
  <c r="X25" i="30"/>
  <c r="I259" i="35" l="1"/>
  <c r="I260" i="35"/>
  <c r="I261" i="35"/>
  <c r="I262" i="35"/>
  <c r="I263" i="35"/>
  <c r="I264" i="35"/>
  <c r="I265" i="35"/>
  <c r="I266" i="35"/>
  <c r="I267" i="35"/>
  <c r="I268" i="35"/>
  <c r="I269" i="35"/>
  <c r="I270" i="35"/>
  <c r="I271" i="35"/>
  <c r="I272" i="35"/>
  <c r="I273" i="35"/>
  <c r="I258" i="35"/>
  <c r="I231" i="35"/>
  <c r="I232" i="35"/>
  <c r="I233" i="35"/>
  <c r="I234" i="35"/>
  <c r="I235" i="35"/>
  <c r="I236" i="35"/>
  <c r="I237" i="35"/>
  <c r="I238" i="35"/>
  <c r="I239" i="35"/>
  <c r="I240" i="35"/>
  <c r="I241" i="35"/>
  <c r="I242" i="35"/>
  <c r="I243" i="35"/>
  <c r="I244" i="35"/>
  <c r="I245" i="35"/>
  <c r="K97" i="12"/>
  <c r="L46" i="12"/>
  <c r="I247" i="35" l="1"/>
  <c r="I275" i="35"/>
  <c r="W26" i="12" l="1"/>
  <c r="H8" i="30" l="1"/>
  <c r="I8" i="30"/>
  <c r="H9" i="30"/>
  <c r="I9" i="30"/>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I7" i="30"/>
  <c r="H7" i="30"/>
  <c r="L195" i="35"/>
  <c r="L196" i="35"/>
  <c r="L197" i="35"/>
  <c r="L198" i="35"/>
  <c r="L199" i="35"/>
  <c r="L200" i="35"/>
  <c r="L201" i="35"/>
  <c r="L202" i="35"/>
  <c r="L203" i="35"/>
  <c r="L204" i="35"/>
  <c r="L205" i="35"/>
  <c r="L206" i="35"/>
  <c r="L207" i="35"/>
  <c r="L208" i="35"/>
  <c r="L209" i="35"/>
  <c r="D125" i="29" l="1"/>
  <c r="D126" i="29"/>
  <c r="D127" i="29"/>
  <c r="D128" i="29"/>
  <c r="D129" i="29"/>
  <c r="D130" i="29"/>
  <c r="D131" i="29"/>
  <c r="D132" i="29"/>
  <c r="D133" i="29"/>
  <c r="D134" i="29"/>
  <c r="D135" i="29"/>
  <c r="D136" i="29"/>
  <c r="D137" i="29"/>
  <c r="D138" i="29"/>
  <c r="D139" i="29"/>
  <c r="E212" i="35"/>
  <c r="I25" i="30" s="1"/>
  <c r="I31" i="30" s="1"/>
  <c r="C17" i="23" l="1"/>
  <c r="AU138" i="15"/>
  <c r="K212" i="35"/>
  <c r="H25" i="30"/>
  <c r="V126" i="15"/>
  <c r="C126" i="29"/>
  <c r="H31" i="30" l="1"/>
  <c r="C130" i="29"/>
  <c r="C136" i="29"/>
  <c r="C128" i="29"/>
  <c r="C133" i="29"/>
  <c r="C125" i="29"/>
  <c r="C132" i="29"/>
  <c r="C131" i="29"/>
  <c r="C137" i="29"/>
  <c r="C129" i="29"/>
  <c r="C135" i="29"/>
  <c r="C127" i="29"/>
  <c r="C134" i="29"/>
  <c r="T121" i="15" l="1"/>
  <c r="AG37" i="15" l="1"/>
  <c r="AH37" i="15"/>
  <c r="AI37" i="15"/>
  <c r="K195" i="35" l="1"/>
  <c r="K196" i="35"/>
  <c r="K197" i="35"/>
  <c r="K198" i="35"/>
  <c r="K199" i="35"/>
  <c r="K200" i="35"/>
  <c r="K201" i="35"/>
  <c r="K202" i="35"/>
  <c r="K203" i="35"/>
  <c r="K204" i="35"/>
  <c r="K205" i="35"/>
  <c r="K206" i="35"/>
  <c r="K207" i="35"/>
  <c r="K208" i="35"/>
  <c r="K209" i="35"/>
  <c r="N50" i="12" l="1"/>
  <c r="N30" i="12" s="1"/>
  <c r="T122" i="15" l="1"/>
  <c r="AO122" i="15"/>
  <c r="AK113" i="15" s="1"/>
  <c r="AO121" i="15"/>
  <c r="AE113" i="15" s="1"/>
  <c r="O120" i="15"/>
  <c r="O116" i="15"/>
  <c r="O56" i="15"/>
  <c r="B56" i="15"/>
  <c r="AD120" i="15" l="1"/>
  <c r="AU135" i="15"/>
  <c r="V122" i="15"/>
  <c r="P116" i="15"/>
  <c r="E74" i="15"/>
  <c r="E78" i="15" s="1"/>
  <c r="E82" i="15" s="1"/>
  <c r="AD116" i="15"/>
  <c r="AE117" i="15" s="1"/>
  <c r="AE121" i="15" s="1"/>
  <c r="AE125" i="15" s="1"/>
  <c r="P120" i="15"/>
  <c r="T116" i="15"/>
  <c r="Q113" i="15" s="1"/>
  <c r="Q117" i="15" s="1"/>
  <c r="V118" i="15"/>
  <c r="AD56" i="15"/>
  <c r="P56" i="15"/>
  <c r="Y117" i="15" l="1"/>
  <c r="AH74" i="15"/>
  <c r="AH78" i="15" s="1"/>
  <c r="AH82" i="15" s="1"/>
  <c r="AI74" i="15"/>
  <c r="AI78" i="15" s="1"/>
  <c r="AI82" i="15" s="1"/>
  <c r="AG74" i="15"/>
  <c r="AG78" i="15" s="1"/>
  <c r="AG82" i="15" s="1"/>
  <c r="AK74" i="15"/>
  <c r="AK78" i="15" s="1"/>
  <c r="AK82" i="15" s="1"/>
  <c r="AE74" i="15"/>
  <c r="AE78" i="15" s="1"/>
  <c r="AE82" i="15" s="1"/>
  <c r="AI117" i="15"/>
  <c r="AH117" i="15"/>
  <c r="AG117" i="15"/>
  <c r="Y118" i="15"/>
  <c r="AK117" i="15"/>
  <c r="D69" i="15"/>
  <c r="D74" i="15" s="1"/>
  <c r="D78" i="15" s="1"/>
  <c r="D82" i="15" s="1"/>
  <c r="C69" i="15"/>
  <c r="C74" i="15" s="1"/>
  <c r="C78" i="15" s="1"/>
  <c r="C82" i="15" s="1"/>
  <c r="G69" i="15"/>
  <c r="G74" i="15" s="1"/>
  <c r="G78" i="15" s="1"/>
  <c r="G82" i="15" s="1"/>
  <c r="F69" i="15"/>
  <c r="F74" i="15" s="1"/>
  <c r="F78" i="15" s="1"/>
  <c r="F82" i="15" s="1"/>
  <c r="H69" i="15"/>
  <c r="H74" i="15" s="1"/>
  <c r="H78" i="15" s="1"/>
  <c r="H82" i="15" s="1"/>
  <c r="Y116" i="15"/>
  <c r="B9" i="8"/>
  <c r="Q121" i="15"/>
  <c r="E117" i="15"/>
  <c r="E121" i="15" s="1"/>
  <c r="E125" i="15" s="1"/>
  <c r="G112" i="15"/>
  <c r="H112" i="15"/>
  <c r="Y122" i="15" l="1"/>
  <c r="Y126" i="15" s="1"/>
  <c r="B6" i="31" s="1"/>
  <c r="C12" i="31" s="1"/>
  <c r="D12" i="31" s="1"/>
  <c r="Y121" i="15"/>
  <c r="Y120" i="15"/>
  <c r="AI121" i="15"/>
  <c r="AH121" i="15"/>
  <c r="AG121" i="15"/>
  <c r="AK121" i="15"/>
  <c r="E6" i="6"/>
  <c r="B6" i="11"/>
  <c r="C117" i="15"/>
  <c r="C121" i="15" s="1"/>
  <c r="C125" i="15" s="1"/>
  <c r="H117" i="15"/>
  <c r="H121" i="15" s="1"/>
  <c r="H125" i="15" s="1"/>
  <c r="D117" i="15"/>
  <c r="D121" i="15" s="1"/>
  <c r="D125" i="15" s="1"/>
  <c r="G117" i="15"/>
  <c r="G121" i="15" s="1"/>
  <c r="G125" i="15" s="1"/>
  <c r="F117" i="15"/>
  <c r="F121" i="15" s="1"/>
  <c r="F125" i="15" s="1"/>
  <c r="AG125" i="15" l="1"/>
  <c r="D9" i="8" s="1"/>
  <c r="AK125" i="15"/>
  <c r="B7" i="14" s="1"/>
  <c r="AH125" i="15"/>
  <c r="E9" i="8" s="1"/>
  <c r="AI125" i="15"/>
  <c r="F9" i="8" s="1"/>
  <c r="Y124" i="15"/>
  <c r="B6" i="28" s="1"/>
  <c r="Y125" i="15"/>
  <c r="B6" i="32" s="1"/>
  <c r="C6" i="6"/>
  <c r="G6" i="6"/>
  <c r="H6" i="6"/>
  <c r="D6" i="6"/>
  <c r="F6" i="6"/>
  <c r="L22" i="25" l="1"/>
  <c r="L7" i="25"/>
  <c r="L8" i="25"/>
  <c r="L9" i="25"/>
  <c r="L10" i="25"/>
  <c r="L11" i="25"/>
  <c r="L12" i="25"/>
  <c r="L13" i="25"/>
  <c r="L14" i="25"/>
  <c r="L15" i="25"/>
  <c r="L16" i="25"/>
  <c r="L17" i="25"/>
  <c r="L18" i="25"/>
  <c r="L19" i="25"/>
  <c r="L20" i="25"/>
  <c r="L21" i="25"/>
  <c r="L6" i="25"/>
  <c r="G7" i="25"/>
  <c r="H7" i="25" s="1"/>
  <c r="G8" i="25"/>
  <c r="I8" i="25" s="1"/>
  <c r="G9" i="25"/>
  <c r="I9" i="25" s="1"/>
  <c r="G10" i="25"/>
  <c r="I10" i="25" s="1"/>
  <c r="G11" i="25"/>
  <c r="I11" i="25" s="1"/>
  <c r="G12" i="25"/>
  <c r="H12" i="25" s="1"/>
  <c r="G13" i="25"/>
  <c r="H13" i="25" s="1"/>
  <c r="G14" i="25"/>
  <c r="H14" i="25" s="1"/>
  <c r="G15" i="25"/>
  <c r="H15" i="25" s="1"/>
  <c r="G16" i="25"/>
  <c r="H16" i="25" s="1"/>
  <c r="G17" i="25"/>
  <c r="I17" i="25" s="1"/>
  <c r="G18" i="25"/>
  <c r="I18" i="25" s="1"/>
  <c r="G19" i="25"/>
  <c r="I19" i="25" s="1"/>
  <c r="G20" i="25"/>
  <c r="I20" i="25" s="1"/>
  <c r="G21" i="25"/>
  <c r="H21" i="25" s="1"/>
  <c r="G6" i="25"/>
  <c r="I6" i="25" s="1"/>
  <c r="M18" i="25"/>
  <c r="M19" i="25"/>
  <c r="M20" i="25"/>
  <c r="M7" i="25"/>
  <c r="M8" i="25"/>
  <c r="M9" i="25"/>
  <c r="M10" i="25"/>
  <c r="M11" i="25"/>
  <c r="M12" i="25"/>
  <c r="M13" i="25"/>
  <c r="M14" i="25"/>
  <c r="M15" i="25"/>
  <c r="M16" i="25"/>
  <c r="M17" i="25"/>
  <c r="M21" i="25"/>
  <c r="M6" i="25"/>
  <c r="I14" i="25" l="1"/>
  <c r="I12" i="25"/>
  <c r="H10" i="25"/>
  <c r="H8" i="25"/>
  <c r="H20" i="25"/>
  <c r="I16" i="25"/>
  <c r="H19" i="25"/>
  <c r="H11" i="25"/>
  <c r="I15" i="25"/>
  <c r="I7" i="25"/>
  <c r="I21" i="25"/>
  <c r="H17" i="25"/>
  <c r="H9" i="25"/>
  <c r="I13" i="25"/>
  <c r="H18" i="25"/>
  <c r="H6" i="25"/>
  <c r="M22" i="25"/>
  <c r="O52" i="15" l="1"/>
  <c r="B48" i="15"/>
  <c r="AU123" i="15" s="1"/>
  <c r="B52" i="15"/>
  <c r="P52" i="15" l="1"/>
  <c r="AD52" i="15"/>
  <c r="B13" i="14"/>
  <c r="B14" i="14"/>
  <c r="B15" i="14"/>
  <c r="B16" i="14"/>
  <c r="B17" i="14"/>
  <c r="B18" i="14"/>
  <c r="B19" i="14"/>
  <c r="B20" i="14"/>
  <c r="B21" i="14"/>
  <c r="B22" i="14"/>
  <c r="B23" i="14"/>
  <c r="B24" i="14"/>
  <c r="B25" i="14"/>
  <c r="B26" i="14"/>
  <c r="B27" i="14"/>
  <c r="B12" i="14"/>
  <c r="S26" i="12" l="1"/>
  <c r="R26" i="12"/>
  <c r="AD48" i="15" l="1"/>
  <c r="AE37" i="15" l="1"/>
  <c r="AR44" i="15"/>
  <c r="AK37" i="15"/>
  <c r="AR43" i="15" l="1"/>
  <c r="L34" i="15"/>
  <c r="L36" i="15" s="1"/>
  <c r="C196" i="29" l="1"/>
  <c r="C195" i="29"/>
  <c r="C194" i="29"/>
  <c r="C193" i="29"/>
  <c r="C192" i="29"/>
  <c r="C191" i="29"/>
  <c r="C190" i="29"/>
  <c r="C189" i="29"/>
  <c r="C188" i="29"/>
  <c r="C187" i="29"/>
  <c r="C186" i="29"/>
  <c r="C185" i="29"/>
  <c r="C184" i="29"/>
  <c r="C183" i="29"/>
  <c r="C182" i="29"/>
  <c r="C181" i="29"/>
  <c r="A177" i="29"/>
  <c r="C172" i="29"/>
  <c r="C171" i="29"/>
  <c r="C170" i="29"/>
  <c r="C169" i="29"/>
  <c r="C168" i="29"/>
  <c r="C167" i="29"/>
  <c r="C166" i="29"/>
  <c r="C165" i="29"/>
  <c r="C164" i="29"/>
  <c r="C163" i="29"/>
  <c r="C162" i="29"/>
  <c r="C161" i="29"/>
  <c r="C160" i="29"/>
  <c r="C159" i="29"/>
  <c r="C158" i="29"/>
  <c r="C157" i="29"/>
  <c r="A153" i="29"/>
  <c r="C177" i="29" l="1"/>
  <c r="C153" i="29"/>
  <c r="G97" i="29"/>
  <c r="L93" i="29" s="1"/>
  <c r="L97" i="29"/>
  <c r="G101" i="29"/>
  <c r="L94" i="29" s="1"/>
  <c r="G96" i="29"/>
  <c r="L100" i="29" s="1"/>
  <c r="G104" i="29"/>
  <c r="L105" i="29" s="1"/>
  <c r="G105" i="29"/>
  <c r="L102" i="29" s="1"/>
  <c r="G106" i="29"/>
  <c r="L98" i="29" s="1"/>
  <c r="G108" i="29"/>
  <c r="L107" i="29" s="1"/>
  <c r="G103" i="29"/>
  <c r="L104" i="29" s="1"/>
  <c r="G107" i="29"/>
  <c r="L95" i="29" s="1"/>
  <c r="G98" i="29"/>
  <c r="L96" i="29" s="1"/>
  <c r="G100" i="29"/>
  <c r="L101" i="29" s="1"/>
  <c r="G102" i="29"/>
  <c r="L103" i="29" s="1"/>
  <c r="G95" i="29"/>
  <c r="L99" i="29" s="1"/>
  <c r="G99" i="29"/>
  <c r="L106" i="29" s="1"/>
  <c r="B124" i="29" l="1"/>
  <c r="F124" i="29" s="1"/>
  <c r="B186" i="29"/>
  <c r="F186" i="29" s="1"/>
  <c r="G186" i="29" s="1"/>
  <c r="B189" i="29"/>
  <c r="F189" i="29" s="1"/>
  <c r="G189" i="29" s="1"/>
  <c r="B185" i="29"/>
  <c r="F185" i="29" s="1"/>
  <c r="G185" i="29" s="1"/>
  <c r="B190" i="29"/>
  <c r="F190" i="29" s="1"/>
  <c r="G190" i="29" s="1"/>
  <c r="B181" i="29"/>
  <c r="F181" i="29" s="1"/>
  <c r="G181" i="29" s="1"/>
  <c r="B192" i="29"/>
  <c r="F192" i="29" s="1"/>
  <c r="G192" i="29" s="1"/>
  <c r="B191" i="29"/>
  <c r="F191" i="29" s="1"/>
  <c r="G191" i="29" s="1"/>
  <c r="B135" i="29"/>
  <c r="F135" i="29" s="1"/>
  <c r="B161" i="29"/>
  <c r="F161" i="29" s="1"/>
  <c r="G161" i="29" s="1"/>
  <c r="B159" i="29"/>
  <c r="F159" i="29" s="1"/>
  <c r="G159" i="29" s="1"/>
  <c r="B164" i="29"/>
  <c r="F164" i="29" s="1"/>
  <c r="G164" i="29" s="1"/>
  <c r="B170" i="29"/>
  <c r="F170" i="29" s="1"/>
  <c r="G170" i="29" s="1"/>
  <c r="B157" i="29"/>
  <c r="F157" i="29" s="1"/>
  <c r="G157" i="29" s="1"/>
  <c r="B136" i="29"/>
  <c r="F136" i="29" s="1"/>
  <c r="B132" i="29"/>
  <c r="F132" i="29" s="1"/>
  <c r="B139" i="29"/>
  <c r="F139" i="29" s="1"/>
  <c r="G139" i="29" s="1"/>
  <c r="B165" i="29"/>
  <c r="F165" i="29" s="1"/>
  <c r="G165" i="29" s="1"/>
  <c r="B127" i="29"/>
  <c r="F127" i="29" s="1"/>
  <c r="B128" i="29"/>
  <c r="F128" i="29" s="1"/>
  <c r="B171" i="29"/>
  <c r="F171" i="29" s="1"/>
  <c r="G171" i="29" s="1"/>
  <c r="B138" i="29"/>
  <c r="F138" i="29" s="1"/>
  <c r="G138" i="29" s="1"/>
  <c r="B167" i="29"/>
  <c r="F167" i="29" s="1"/>
  <c r="G167" i="29" s="1"/>
  <c r="B158" i="29"/>
  <c r="F158" i="29" s="1"/>
  <c r="G158" i="29" s="1"/>
  <c r="B130" i="29"/>
  <c r="F130" i="29" s="1"/>
  <c r="B172" i="29"/>
  <c r="F172" i="29" s="1"/>
  <c r="G172" i="29" s="1"/>
  <c r="B131" i="29"/>
  <c r="F131" i="29" s="1"/>
  <c r="B188" i="29"/>
  <c r="F188" i="29" s="1"/>
  <c r="G188" i="29" s="1"/>
  <c r="B194" i="29"/>
  <c r="F194" i="29" s="1"/>
  <c r="G194" i="29" s="1"/>
  <c r="B137" i="29"/>
  <c r="F137" i="29" s="1"/>
  <c r="B193" i="29"/>
  <c r="F193" i="29" s="1"/>
  <c r="G193" i="29" s="1"/>
  <c r="B169" i="29"/>
  <c r="F169" i="29" s="1"/>
  <c r="G169" i="29" s="1"/>
  <c r="B168" i="29"/>
  <c r="F168" i="29" s="1"/>
  <c r="G168" i="29" s="1"/>
  <c r="B196" i="29"/>
  <c r="F196" i="29" s="1"/>
  <c r="G196" i="29" s="1"/>
  <c r="B134" i="29"/>
  <c r="F134" i="29" s="1"/>
  <c r="B160" i="29"/>
  <c r="F160" i="29" s="1"/>
  <c r="G160" i="29" s="1"/>
  <c r="B184" i="29"/>
  <c r="F184" i="29" s="1"/>
  <c r="G184" i="29" s="1"/>
  <c r="B125" i="29"/>
  <c r="F125" i="29" s="1"/>
  <c r="B182" i="29"/>
  <c r="F182" i="29" s="1"/>
  <c r="G182" i="29" s="1"/>
  <c r="B187" i="29"/>
  <c r="F187" i="29" s="1"/>
  <c r="G187" i="29" s="1"/>
  <c r="B183" i="29"/>
  <c r="F183" i="29" s="1"/>
  <c r="G183" i="29" s="1"/>
  <c r="B195" i="29"/>
  <c r="F195" i="29" s="1"/>
  <c r="G195" i="29" s="1"/>
  <c r="B129" i="29"/>
  <c r="F129" i="29" s="1"/>
  <c r="B166" i="29"/>
  <c r="F166" i="29" s="1"/>
  <c r="G166" i="29" s="1"/>
  <c r="B126" i="29"/>
  <c r="F126" i="29" s="1"/>
  <c r="G126" i="29" s="1"/>
  <c r="J126" i="29" s="1"/>
  <c r="B133" i="29"/>
  <c r="F133" i="29" s="1"/>
  <c r="B163" i="29"/>
  <c r="F163" i="29" s="1"/>
  <c r="G163" i="29" s="1"/>
  <c r="B162" i="29"/>
  <c r="F162" i="29" s="1"/>
  <c r="G162" i="29" s="1"/>
  <c r="B22" i="3" l="1"/>
  <c r="J139" i="29"/>
  <c r="B21" i="3"/>
  <c r="J138" i="29"/>
  <c r="G136" i="29"/>
  <c r="G133" i="29"/>
  <c r="G137" i="29"/>
  <c r="G131" i="29"/>
  <c r="G128" i="29"/>
  <c r="G129" i="29"/>
  <c r="G127" i="29"/>
  <c r="G132" i="29"/>
  <c r="G124" i="29"/>
  <c r="G134" i="29"/>
  <c r="G130" i="29"/>
  <c r="G125" i="29"/>
  <c r="G135" i="29"/>
  <c r="G173" i="29"/>
  <c r="G197" i="29"/>
  <c r="B9" i="3"/>
  <c r="W44" i="15"/>
  <c r="X50" i="15" s="1"/>
  <c r="X55" i="15" s="1"/>
  <c r="X61" i="15" s="1"/>
  <c r="W41" i="15"/>
  <c r="X49" i="15" s="1"/>
  <c r="X54" i="15" s="1"/>
  <c r="X59" i="15" s="1"/>
  <c r="W38" i="15"/>
  <c r="AR41" i="15"/>
  <c r="B8" i="3" l="1"/>
  <c r="J125" i="29"/>
  <c r="B14" i="3"/>
  <c r="J131" i="29"/>
  <c r="B13" i="3"/>
  <c r="J130" i="29"/>
  <c r="B20" i="3"/>
  <c r="J137" i="29"/>
  <c r="B12" i="3"/>
  <c r="J129" i="29"/>
  <c r="B17" i="3"/>
  <c r="J134" i="29"/>
  <c r="B16" i="3"/>
  <c r="J133" i="29"/>
  <c r="B11" i="3"/>
  <c r="J128" i="29"/>
  <c r="B15" i="3"/>
  <c r="J132" i="29"/>
  <c r="B18" i="3"/>
  <c r="J135" i="29"/>
  <c r="B19" i="3"/>
  <c r="J136" i="29"/>
  <c r="B10" i="3"/>
  <c r="J127" i="29"/>
  <c r="B7" i="3"/>
  <c r="J124" i="29"/>
  <c r="C19" i="32"/>
  <c r="D19" i="32" s="1"/>
  <c r="F16" i="5" s="1"/>
  <c r="C13" i="32"/>
  <c r="D13" i="32" s="1"/>
  <c r="F10" i="5" s="1"/>
  <c r="C23" i="32"/>
  <c r="D23" i="32" s="1"/>
  <c r="F20" i="5" s="1"/>
  <c r="C25" i="32"/>
  <c r="D25" i="32" s="1"/>
  <c r="F22" i="5" s="1"/>
  <c r="C15" i="32"/>
  <c r="D15" i="32" s="1"/>
  <c r="F12" i="5" s="1"/>
  <c r="C10" i="32"/>
  <c r="C11" i="32"/>
  <c r="D11" i="32" s="1"/>
  <c r="F8" i="5" s="1"/>
  <c r="C17" i="32"/>
  <c r="D17" i="32" s="1"/>
  <c r="F14" i="5" s="1"/>
  <c r="C21" i="32"/>
  <c r="D21" i="32" s="1"/>
  <c r="F18" i="5" s="1"/>
  <c r="C12" i="32"/>
  <c r="D12" i="32" s="1"/>
  <c r="F9" i="5" s="1"/>
  <c r="C16" i="32"/>
  <c r="D16" i="32" s="1"/>
  <c r="F13" i="5" s="1"/>
  <c r="C14" i="32"/>
  <c r="D14" i="32" s="1"/>
  <c r="F11" i="5" s="1"/>
  <c r="C20" i="32"/>
  <c r="D20" i="32" s="1"/>
  <c r="F17" i="5" s="1"/>
  <c r="C18" i="32"/>
  <c r="D18" i="32" s="1"/>
  <c r="F15" i="5" s="1"/>
  <c r="C24" i="32"/>
  <c r="D24" i="32" s="1"/>
  <c r="F21" i="5" s="1"/>
  <c r="C22" i="32"/>
  <c r="D22" i="32" s="1"/>
  <c r="F19" i="5" s="1"/>
  <c r="C25" i="31"/>
  <c r="D25" i="31" s="1"/>
  <c r="E22" i="5" s="1"/>
  <c r="C11" i="31"/>
  <c r="D11" i="31" s="1"/>
  <c r="E8" i="5" s="1"/>
  <c r="C23" i="31"/>
  <c r="D23" i="31" s="1"/>
  <c r="E20" i="5" s="1"/>
  <c r="C10" i="31"/>
  <c r="E9" i="5"/>
  <c r="C14" i="31"/>
  <c r="D14" i="31" s="1"/>
  <c r="E11" i="5" s="1"/>
  <c r="C22" i="31"/>
  <c r="D22" i="31" s="1"/>
  <c r="E19" i="5" s="1"/>
  <c r="C24" i="31"/>
  <c r="D24" i="31" s="1"/>
  <c r="E21" i="5" s="1"/>
  <c r="C15" i="31"/>
  <c r="D15" i="31" s="1"/>
  <c r="E12" i="5" s="1"/>
  <c r="C21" i="31"/>
  <c r="D21" i="31" s="1"/>
  <c r="E18" i="5" s="1"/>
  <c r="C16" i="31"/>
  <c r="D16" i="31" s="1"/>
  <c r="E13" i="5" s="1"/>
  <c r="C18" i="31"/>
  <c r="D18" i="31" s="1"/>
  <c r="E15" i="5" s="1"/>
  <c r="C20" i="31"/>
  <c r="D20" i="31" s="1"/>
  <c r="E17" i="5" s="1"/>
  <c r="C19" i="31"/>
  <c r="D19" i="31" s="1"/>
  <c r="E16" i="5" s="1"/>
  <c r="C17" i="31"/>
  <c r="D17" i="31" s="1"/>
  <c r="E14" i="5" s="1"/>
  <c r="C13" i="31"/>
  <c r="D13" i="31" s="1"/>
  <c r="E10" i="5" s="1"/>
  <c r="X48" i="15"/>
  <c r="X53" i="15" s="1"/>
  <c r="X58" i="15" s="1"/>
  <c r="G140" i="29"/>
  <c r="AR42" i="15"/>
  <c r="J140" i="29" l="1"/>
  <c r="B27" i="12"/>
  <c r="F13" i="12"/>
  <c r="F12" i="12"/>
  <c r="F22" i="12"/>
  <c r="F20" i="12"/>
  <c r="F17" i="12"/>
  <c r="F10" i="12"/>
  <c r="F16" i="12"/>
  <c r="F11" i="12"/>
  <c r="F9" i="12"/>
  <c r="F21" i="12"/>
  <c r="F18" i="12"/>
  <c r="F15" i="12"/>
  <c r="F8" i="12"/>
  <c r="F19" i="12"/>
  <c r="F14" i="12"/>
  <c r="C26" i="32"/>
  <c r="D10" i="32"/>
  <c r="D10" i="31"/>
  <c r="C26" i="31"/>
  <c r="C19" i="28"/>
  <c r="D19" i="28" s="1"/>
  <c r="C12" i="28"/>
  <c r="D12" i="28" s="1"/>
  <c r="D9" i="5" s="1"/>
  <c r="C10" i="28"/>
  <c r="D10" i="28" s="1"/>
  <c r="C16" i="28"/>
  <c r="D16" i="28" s="1"/>
  <c r="G13" i="12" s="1"/>
  <c r="C14" i="28"/>
  <c r="D14" i="28" s="1"/>
  <c r="G11" i="12" s="1"/>
  <c r="C18" i="28"/>
  <c r="D18" i="28" s="1"/>
  <c r="G15" i="12" s="1"/>
  <c r="C24" i="28"/>
  <c r="D24" i="28" s="1"/>
  <c r="G21" i="12" s="1"/>
  <c r="C23" i="28"/>
  <c r="D23" i="28" s="1"/>
  <c r="G20" i="12" s="1"/>
  <c r="C13" i="28"/>
  <c r="D13" i="28" s="1"/>
  <c r="G10" i="12" s="1"/>
  <c r="C17" i="28"/>
  <c r="D17" i="28" s="1"/>
  <c r="G14" i="12" s="1"/>
  <c r="C25" i="28"/>
  <c r="D25" i="28" s="1"/>
  <c r="D22" i="5" s="1"/>
  <c r="C20" i="28"/>
  <c r="D20" i="28" s="1"/>
  <c r="G17" i="12" s="1"/>
  <c r="C22" i="28"/>
  <c r="D22" i="28" s="1"/>
  <c r="G19" i="12" s="1"/>
  <c r="C15" i="28"/>
  <c r="D15" i="28" s="1"/>
  <c r="G12" i="12" s="1"/>
  <c r="C21" i="28"/>
  <c r="D21" i="28" s="1"/>
  <c r="G18" i="12" s="1"/>
  <c r="C11" i="28"/>
  <c r="D11" i="28" s="1"/>
  <c r="D8" i="5" s="1"/>
  <c r="G9" i="12" l="1"/>
  <c r="D26" i="31"/>
  <c r="E7" i="5"/>
  <c r="D26" i="32"/>
  <c r="F7" i="5"/>
  <c r="D13" i="5"/>
  <c r="D14" i="5"/>
  <c r="D10" i="5"/>
  <c r="G22" i="12"/>
  <c r="D11" i="5"/>
  <c r="D20" i="5"/>
  <c r="D17" i="5"/>
  <c r="D18" i="5"/>
  <c r="D21" i="5"/>
  <c r="D19" i="5"/>
  <c r="D12" i="5"/>
  <c r="C26" i="28"/>
  <c r="D15" i="5"/>
  <c r="G8" i="12"/>
  <c r="D16" i="5"/>
  <c r="G16" i="12"/>
  <c r="D26" i="28"/>
  <c r="G7" i="12"/>
  <c r="D7" i="5"/>
  <c r="O48" i="15"/>
  <c r="P44" i="15"/>
  <c r="O44" i="15"/>
  <c r="P40" i="15"/>
  <c r="AD40" i="15" s="1"/>
  <c r="L50" i="15"/>
  <c r="T36" i="15"/>
  <c r="Q37" i="15" s="1"/>
  <c r="Q41" i="15" s="1"/>
  <c r="E23" i="5" l="1"/>
  <c r="J26" i="31" s="1"/>
  <c r="G26" i="12"/>
  <c r="G50" i="12" s="1"/>
  <c r="G30" i="12" s="1"/>
  <c r="G32" i="12" s="1"/>
  <c r="Q45" i="15"/>
  <c r="F23" i="5"/>
  <c r="F7" i="12"/>
  <c r="F26" i="12" s="1"/>
  <c r="F50" i="12" s="1"/>
  <c r="F30" i="12" s="1"/>
  <c r="F32" i="12" s="1"/>
  <c r="D23" i="5"/>
  <c r="AE41" i="15"/>
  <c r="AE45" i="15" s="1"/>
  <c r="AE49" i="15" s="1"/>
  <c r="AE53" i="15" s="1"/>
  <c r="AE57" i="15" s="1"/>
  <c r="AI41" i="15"/>
  <c r="AI45" i="15" s="1"/>
  <c r="AI49" i="15" s="1"/>
  <c r="AI53" i="15" s="1"/>
  <c r="AI57" i="15" s="1"/>
  <c r="AK41" i="15"/>
  <c r="AK45" i="15" s="1"/>
  <c r="AK49" i="15" s="1"/>
  <c r="AK53" i="15" s="1"/>
  <c r="AK57" i="15" s="1"/>
  <c r="AH41" i="15"/>
  <c r="AH45" i="15" s="1"/>
  <c r="AH49" i="15" s="1"/>
  <c r="AH53" i="15" s="1"/>
  <c r="AH57" i="15" s="1"/>
  <c r="AG41" i="15"/>
  <c r="AG45" i="15" s="1"/>
  <c r="AG49" i="15" s="1"/>
  <c r="AG53" i="15" s="1"/>
  <c r="AG57" i="15" s="1"/>
  <c r="E36" i="15"/>
  <c r="H36" i="15" s="1"/>
  <c r="H41" i="15" s="1"/>
  <c r="H45" i="15" s="1"/>
  <c r="H49" i="15" s="1"/>
  <c r="H53" i="15" s="1"/>
  <c r="H57" i="15" s="1"/>
  <c r="J26" i="28" l="1"/>
  <c r="G27" i="12"/>
  <c r="O26" i="32"/>
  <c r="F27" i="12"/>
  <c r="E41" i="15"/>
  <c r="E45" i="15" s="1"/>
  <c r="E49" i="15" s="1"/>
  <c r="E53" i="15" s="1"/>
  <c r="E57" i="15" s="1"/>
  <c r="G36" i="15"/>
  <c r="G41" i="15" s="1"/>
  <c r="G45" i="15" s="1"/>
  <c r="G49" i="15" s="1"/>
  <c r="G53" i="15" s="1"/>
  <c r="G57" i="15" s="1"/>
  <c r="F36" i="15"/>
  <c r="F41" i="15" s="1"/>
  <c r="F45" i="15" s="1"/>
  <c r="F49" i="15" s="1"/>
  <c r="F53" i="15" s="1"/>
  <c r="F57" i="15" s="1"/>
  <c r="P48" i="15" l="1"/>
  <c r="Q49" i="15" s="1"/>
  <c r="Q53" i="15" s="1"/>
  <c r="Q57" i="15" s="1"/>
  <c r="T11" i="15"/>
  <c r="O20" i="15"/>
  <c r="P20" i="15"/>
  <c r="Q21" i="15" s="1"/>
  <c r="O24" i="15"/>
  <c r="AW81" i="15" l="1"/>
  <c r="AW85" i="15" s="1"/>
  <c r="AW89" i="15" s="1"/>
  <c r="AW93" i="15" s="1"/>
  <c r="AV81" i="15"/>
  <c r="AV85" i="15" s="1"/>
  <c r="AV89" i="15" s="1"/>
  <c r="AV93" i="15" s="1"/>
  <c r="B22" i="21"/>
  <c r="K12" i="25" l="1"/>
  <c r="K20" i="25"/>
  <c r="K15" i="25"/>
  <c r="G22" i="25"/>
  <c r="K13" i="25"/>
  <c r="K21" i="25"/>
  <c r="K9" i="25"/>
  <c r="K14" i="25"/>
  <c r="K6" i="25"/>
  <c r="K8" i="25"/>
  <c r="K16" i="25"/>
  <c r="K10" i="25"/>
  <c r="K18" i="25"/>
  <c r="K7" i="25"/>
  <c r="K11" i="25"/>
  <c r="K19" i="25"/>
  <c r="K17" i="25"/>
  <c r="D11" i="6"/>
  <c r="E11" i="6"/>
  <c r="F11" i="6"/>
  <c r="G11" i="6"/>
  <c r="H11" i="6"/>
  <c r="C11" i="6"/>
  <c r="D10" i="6"/>
  <c r="E10" i="6"/>
  <c r="F10" i="6"/>
  <c r="G10" i="6"/>
  <c r="H10" i="6"/>
  <c r="C10" i="6"/>
  <c r="I22" i="25" l="1"/>
  <c r="H22" i="25"/>
  <c r="K22" i="25"/>
  <c r="L22" i="22"/>
  <c r="U22" i="22" s="1"/>
  <c r="L8" i="22"/>
  <c r="U8" i="22" s="1"/>
  <c r="L9" i="22"/>
  <c r="U9" i="22" s="1"/>
  <c r="L10" i="22"/>
  <c r="U10" i="22" s="1"/>
  <c r="L11" i="22"/>
  <c r="U11" i="22" s="1"/>
  <c r="L12" i="22"/>
  <c r="U12" i="22" s="1"/>
  <c r="L13" i="22"/>
  <c r="U13" i="22" s="1"/>
  <c r="L14" i="22"/>
  <c r="U14" i="22" s="1"/>
  <c r="L15" i="22"/>
  <c r="U15" i="22" s="1"/>
  <c r="L16" i="22"/>
  <c r="U16" i="22" s="1"/>
  <c r="L17" i="22"/>
  <c r="U17" i="22" s="1"/>
  <c r="L18" i="22"/>
  <c r="U18" i="22" s="1"/>
  <c r="L19" i="22"/>
  <c r="U19" i="22" s="1"/>
  <c r="L20" i="22"/>
  <c r="U20" i="22" s="1"/>
  <c r="L21" i="22"/>
  <c r="U21" i="22" s="1"/>
  <c r="L7" i="22"/>
  <c r="U7" i="22" s="1"/>
  <c r="AA23" i="22" l="1"/>
  <c r="Z23" i="22"/>
  <c r="V23" i="22"/>
  <c r="AB23" i="22" l="1"/>
  <c r="B24" i="15" l="1"/>
  <c r="C25" i="15" l="1"/>
  <c r="P24" i="15"/>
  <c r="Q25" i="15" s="1"/>
  <c r="AA22" i="22" l="1"/>
  <c r="AA21" i="22"/>
  <c r="AA20" i="22"/>
  <c r="AA19" i="22"/>
  <c r="AA18" i="22"/>
  <c r="AA17" i="22"/>
  <c r="AA16" i="22"/>
  <c r="AA15" i="22"/>
  <c r="AA14" i="22"/>
  <c r="AA13" i="22"/>
  <c r="AA12" i="22"/>
  <c r="AA11" i="22"/>
  <c r="AA10" i="22"/>
  <c r="AA9" i="22"/>
  <c r="AA8" i="22"/>
  <c r="AA7" i="22"/>
  <c r="L24" i="22"/>
  <c r="F24" i="22"/>
  <c r="I24" i="22"/>
  <c r="AA24" i="22" l="1"/>
  <c r="AT119" i="15"/>
  <c r="AU115" i="15"/>
  <c r="AV116" i="15" s="1"/>
  <c r="AT115" i="15"/>
  <c r="AC24" i="15"/>
  <c r="H25" i="15" l="1"/>
  <c r="E25" i="15"/>
  <c r="D25" i="15"/>
  <c r="F25" i="15"/>
  <c r="G25" i="15"/>
  <c r="AU119" i="15"/>
  <c r="AV120" i="15" s="1"/>
  <c r="AD24" i="15"/>
  <c r="U24" i="22"/>
  <c r="O24" i="22"/>
  <c r="C24" i="22"/>
  <c r="AV124" i="15" l="1"/>
  <c r="AV128" i="15" s="1"/>
  <c r="AV132" i="15" s="1"/>
  <c r="AV136" i="15" s="1"/>
  <c r="A3" i="22"/>
  <c r="AV139" i="15" l="1"/>
  <c r="C7" i="10" s="1"/>
  <c r="D14" i="10" s="1"/>
  <c r="A4" i="3"/>
  <c r="A14" i="6"/>
  <c r="B43" i="21" l="1"/>
  <c r="C43" i="21"/>
  <c r="D43" i="21"/>
  <c r="E43" i="21"/>
  <c r="F43" i="21"/>
  <c r="F22" i="21"/>
  <c r="B25" i="23" l="1"/>
  <c r="Q21" i="22"/>
  <c r="Q20" i="22"/>
  <c r="Q19" i="22"/>
  <c r="Q18" i="22"/>
  <c r="Q17" i="22"/>
  <c r="Q16" i="22"/>
  <c r="Q15" i="22"/>
  <c r="Q14" i="22"/>
  <c r="Q13" i="22"/>
  <c r="Q12" i="22"/>
  <c r="Q11" i="22"/>
  <c r="Q10" i="22"/>
  <c r="Q9" i="22"/>
  <c r="Q8" i="22"/>
  <c r="Q7" i="22"/>
  <c r="A3" i="9" l="1"/>
  <c r="B9" i="20" l="1"/>
  <c r="L8" i="15" l="1"/>
  <c r="L10" i="15" l="1"/>
  <c r="T12" i="15" s="1"/>
  <c r="Q8" i="15" s="1"/>
  <c r="L42" i="21"/>
  <c r="L41" i="21"/>
  <c r="L40" i="21"/>
  <c r="L39" i="21"/>
  <c r="L38" i="21"/>
  <c r="L37" i="21"/>
  <c r="L36" i="21"/>
  <c r="L35" i="21"/>
  <c r="L34" i="21"/>
  <c r="L33" i="21"/>
  <c r="L32" i="21"/>
  <c r="L31" i="21"/>
  <c r="L30" i="21"/>
  <c r="L29" i="21"/>
  <c r="L28" i="21"/>
  <c r="L27" i="21"/>
  <c r="B24" i="20" l="1"/>
  <c r="B23" i="20"/>
  <c r="B22" i="20"/>
  <c r="B21" i="20"/>
  <c r="B20" i="20"/>
  <c r="B19" i="20"/>
  <c r="B18" i="20"/>
  <c r="B17" i="20"/>
  <c r="B16" i="20"/>
  <c r="B15" i="20"/>
  <c r="B14" i="20"/>
  <c r="B13" i="20"/>
  <c r="B12" i="20"/>
  <c r="B11" i="20"/>
  <c r="B10" i="20"/>
  <c r="A13" i="10"/>
  <c r="B29" i="10"/>
  <c r="B28" i="10"/>
  <c r="B27" i="10"/>
  <c r="B26" i="10"/>
  <c r="B25" i="10"/>
  <c r="B24" i="10"/>
  <c r="B23" i="10"/>
  <c r="B22" i="10"/>
  <c r="B21" i="10"/>
  <c r="B20" i="10"/>
  <c r="B19" i="10"/>
  <c r="B18" i="10"/>
  <c r="B17" i="10"/>
  <c r="B16" i="10"/>
  <c r="B15" i="10"/>
  <c r="B14" i="10"/>
  <c r="A11" i="14"/>
  <c r="A21" i="8"/>
  <c r="L43" i="21"/>
  <c r="F37" i="8"/>
  <c r="F36" i="8"/>
  <c r="F35" i="8"/>
  <c r="F34" i="8"/>
  <c r="F33" i="8"/>
  <c r="F32" i="8"/>
  <c r="F31" i="8"/>
  <c r="F30" i="8"/>
  <c r="F29" i="8"/>
  <c r="F28" i="8"/>
  <c r="F27" i="8"/>
  <c r="F26" i="8"/>
  <c r="F25" i="8"/>
  <c r="F24" i="8"/>
  <c r="F23" i="8"/>
  <c r="F22" i="8"/>
  <c r="E37" i="8"/>
  <c r="E36" i="8"/>
  <c r="E35" i="8"/>
  <c r="E34" i="8"/>
  <c r="E33" i="8"/>
  <c r="E32" i="8"/>
  <c r="E31" i="8"/>
  <c r="E30" i="8"/>
  <c r="E29" i="8"/>
  <c r="E28" i="8"/>
  <c r="E27" i="8"/>
  <c r="E26" i="8"/>
  <c r="E25" i="8"/>
  <c r="E24" i="8"/>
  <c r="E23" i="8"/>
  <c r="E22" i="8"/>
  <c r="D37" i="8"/>
  <c r="D36" i="8"/>
  <c r="D35" i="8"/>
  <c r="D34" i="8"/>
  <c r="D33" i="8"/>
  <c r="D32" i="8"/>
  <c r="D31" i="8"/>
  <c r="D30" i="8"/>
  <c r="D29" i="8"/>
  <c r="D28" i="8"/>
  <c r="D27" i="8"/>
  <c r="D26" i="8"/>
  <c r="D25" i="8"/>
  <c r="D24" i="8"/>
  <c r="D23" i="8"/>
  <c r="D22" i="8"/>
  <c r="C37" i="8"/>
  <c r="C36" i="8"/>
  <c r="C35" i="8"/>
  <c r="C34" i="8"/>
  <c r="C33" i="8"/>
  <c r="C32" i="8"/>
  <c r="C31" i="8"/>
  <c r="C30" i="8"/>
  <c r="C29" i="8"/>
  <c r="C28" i="8"/>
  <c r="C27" i="8"/>
  <c r="C26" i="8"/>
  <c r="C25" i="8"/>
  <c r="C24" i="8"/>
  <c r="C23" i="8"/>
  <c r="C22" i="8"/>
  <c r="B37" i="8"/>
  <c r="B36" i="8"/>
  <c r="B35" i="8"/>
  <c r="B34" i="8"/>
  <c r="B33" i="8"/>
  <c r="B32" i="8"/>
  <c r="B31" i="8"/>
  <c r="B30" i="8"/>
  <c r="B29" i="8"/>
  <c r="B28" i="8"/>
  <c r="B27" i="8"/>
  <c r="B26" i="8"/>
  <c r="B25" i="8"/>
  <c r="B24" i="8"/>
  <c r="B23" i="8"/>
  <c r="B22" i="8"/>
  <c r="M43" i="21"/>
  <c r="B30" i="6"/>
  <c r="B29" i="6"/>
  <c r="B28" i="6"/>
  <c r="B27" i="6"/>
  <c r="B26" i="6"/>
  <c r="B25" i="6"/>
  <c r="B24" i="6"/>
  <c r="B23" i="6"/>
  <c r="B22" i="6"/>
  <c r="B21" i="6"/>
  <c r="B20" i="6"/>
  <c r="B19" i="6"/>
  <c r="B18" i="6"/>
  <c r="B17" i="6"/>
  <c r="B16" i="6"/>
  <c r="B15" i="6"/>
  <c r="L33" i="8" l="1"/>
  <c r="B54" i="8"/>
  <c r="I54" i="8" s="1"/>
  <c r="B17" i="27" s="1"/>
  <c r="D18" i="12" s="1"/>
  <c r="L27" i="8"/>
  <c r="B48" i="8"/>
  <c r="I48" i="8" s="1"/>
  <c r="B11" i="27" s="1"/>
  <c r="D12" i="12" s="1"/>
  <c r="L25" i="8"/>
  <c r="B46" i="8"/>
  <c r="I46" i="8" s="1"/>
  <c r="B9" i="27" s="1"/>
  <c r="D10" i="12" s="1"/>
  <c r="L26" i="8"/>
  <c r="B47" i="8"/>
  <c r="I47" i="8" s="1"/>
  <c r="B10" i="27" s="1"/>
  <c r="D11" i="12" s="1"/>
  <c r="L34" i="8"/>
  <c r="B55" i="8"/>
  <c r="I55" i="8" s="1"/>
  <c r="B18" i="27" s="1"/>
  <c r="D19" i="12" s="1"/>
  <c r="L29" i="8"/>
  <c r="B50" i="8"/>
  <c r="I50" i="8" s="1"/>
  <c r="B13" i="27" s="1"/>
  <c r="D14" i="12" s="1"/>
  <c r="L37" i="8"/>
  <c r="B58" i="8"/>
  <c r="I58" i="8" s="1"/>
  <c r="B21" i="27" s="1"/>
  <c r="D22" i="12" s="1"/>
  <c r="L22" i="8"/>
  <c r="B43" i="8"/>
  <c r="L30" i="8"/>
  <c r="B51" i="8"/>
  <c r="I51" i="8" s="1"/>
  <c r="B14" i="27" s="1"/>
  <c r="D15" i="12" s="1"/>
  <c r="L35" i="8"/>
  <c r="B56" i="8"/>
  <c r="I56" i="8" s="1"/>
  <c r="B19" i="27" s="1"/>
  <c r="D20" i="12" s="1"/>
  <c r="L36" i="8"/>
  <c r="B57" i="8"/>
  <c r="I57" i="8" s="1"/>
  <c r="B20" i="27" s="1"/>
  <c r="D21" i="12" s="1"/>
  <c r="L23" i="8"/>
  <c r="B44" i="8"/>
  <c r="I44" i="8" s="1"/>
  <c r="B7" i="27" s="1"/>
  <c r="D8" i="12" s="1"/>
  <c r="L31" i="8"/>
  <c r="B52" i="8"/>
  <c r="I52" i="8" s="1"/>
  <c r="B15" i="27" s="1"/>
  <c r="D16" i="12" s="1"/>
  <c r="L28" i="8"/>
  <c r="B49" i="8"/>
  <c r="I49" i="8" s="1"/>
  <c r="B12" i="27" s="1"/>
  <c r="D13" i="12" s="1"/>
  <c r="L24" i="8"/>
  <c r="B45" i="8"/>
  <c r="I45" i="8" s="1"/>
  <c r="B8" i="27" s="1"/>
  <c r="D9" i="12" s="1"/>
  <c r="L32" i="8"/>
  <c r="B53" i="8"/>
  <c r="I53" i="8" s="1"/>
  <c r="B16" i="27" s="1"/>
  <c r="D17" i="12" s="1"/>
  <c r="D18" i="10"/>
  <c r="D22" i="10"/>
  <c r="D26" i="10"/>
  <c r="D15" i="10"/>
  <c r="D19" i="10"/>
  <c r="D23" i="10"/>
  <c r="D27" i="10"/>
  <c r="D16" i="10"/>
  <c r="D20" i="10"/>
  <c r="D24" i="10"/>
  <c r="D28" i="10"/>
  <c r="D17" i="10"/>
  <c r="D21" i="10"/>
  <c r="D25" i="10"/>
  <c r="D29" i="10"/>
  <c r="B25" i="20"/>
  <c r="I43" i="8" l="1"/>
  <c r="B6" i="27" s="1"/>
  <c r="D7" i="12" s="1"/>
  <c r="D26" i="12" s="1"/>
  <c r="B59" i="8"/>
  <c r="I59" i="8" s="1"/>
  <c r="B22" i="27" s="1"/>
  <c r="D27" i="12" s="1"/>
  <c r="B12" i="15"/>
  <c r="P12" i="15" s="1"/>
  <c r="Q13" i="15" s="1"/>
  <c r="D8" i="15"/>
  <c r="C8" i="15"/>
  <c r="F8" i="15"/>
  <c r="G8" i="15"/>
  <c r="G13" i="15" s="1"/>
  <c r="H8" i="15"/>
  <c r="B28" i="14"/>
  <c r="D50" i="12" l="1"/>
  <c r="D30" i="12" s="1"/>
  <c r="D32" i="12" s="1"/>
  <c r="E13" i="15"/>
  <c r="AD12" i="15"/>
  <c r="F13" i="15"/>
  <c r="C13" i="15"/>
  <c r="H13" i="15"/>
  <c r="D13" i="15"/>
  <c r="AI13" i="15" l="1"/>
  <c r="AI17" i="15" s="1"/>
  <c r="AI21" i="15" s="1"/>
  <c r="AE13" i="15"/>
  <c r="AE17" i="15" s="1"/>
  <c r="AE21" i="15" s="1"/>
  <c r="AK13" i="15"/>
  <c r="AK17" i="15" s="1"/>
  <c r="AK21" i="15" s="1"/>
  <c r="AK25" i="15" s="1"/>
  <c r="AH13" i="15"/>
  <c r="AH17" i="15" s="1"/>
  <c r="AH21" i="15" s="1"/>
  <c r="AG13" i="15"/>
  <c r="AG17" i="15" s="1"/>
  <c r="AG21" i="15" s="1"/>
  <c r="AH25" i="15" l="1"/>
  <c r="AE25" i="15"/>
  <c r="AG25" i="15"/>
  <c r="AI25" i="15"/>
  <c r="B31" i="6"/>
  <c r="E69" i="8" l="1"/>
  <c r="B30" i="10"/>
  <c r="D76" i="8" l="1"/>
  <c r="D72" i="8"/>
  <c r="D68" i="8"/>
  <c r="D64" i="8"/>
  <c r="D73" i="8"/>
  <c r="D65" i="8"/>
  <c r="D79" i="8"/>
  <c r="D75" i="8"/>
  <c r="D71" i="8"/>
  <c r="D67" i="8"/>
  <c r="D78" i="8"/>
  <c r="D74" i="8"/>
  <c r="D70" i="8"/>
  <c r="D66" i="8"/>
  <c r="D77" i="8"/>
  <c r="D69" i="8"/>
  <c r="B76" i="8"/>
  <c r="B72" i="8"/>
  <c r="B68" i="8"/>
  <c r="B64" i="8"/>
  <c r="B77" i="8"/>
  <c r="B69" i="8"/>
  <c r="B79" i="8"/>
  <c r="B75" i="8"/>
  <c r="B71" i="8"/>
  <c r="B67" i="8"/>
  <c r="B78" i="8"/>
  <c r="B74" i="8"/>
  <c r="B70" i="8"/>
  <c r="B66" i="8"/>
  <c r="B73" i="8"/>
  <c r="B65" i="8"/>
  <c r="E12" i="14"/>
  <c r="C12" i="14"/>
  <c r="C13" i="14"/>
  <c r="C14" i="14"/>
  <c r="C15" i="14"/>
  <c r="C16" i="14"/>
  <c r="C17" i="14"/>
  <c r="C18" i="14"/>
  <c r="C19" i="14"/>
  <c r="C20" i="14"/>
  <c r="C21" i="14"/>
  <c r="C22" i="14"/>
  <c r="C23" i="14"/>
  <c r="C24" i="14"/>
  <c r="C25" i="14"/>
  <c r="C26" i="14"/>
  <c r="C27" i="14"/>
  <c r="F76" i="8"/>
  <c r="F72" i="8"/>
  <c r="F68" i="8"/>
  <c r="F64" i="8"/>
  <c r="F73" i="8"/>
  <c r="F65" i="8"/>
  <c r="F79" i="8"/>
  <c r="F75" i="8"/>
  <c r="F71" i="8"/>
  <c r="F67" i="8"/>
  <c r="F78" i="8"/>
  <c r="F74" i="8"/>
  <c r="F70" i="8"/>
  <c r="F66" i="8"/>
  <c r="F77" i="8"/>
  <c r="F69" i="8"/>
  <c r="E76" i="8"/>
  <c r="E72" i="8"/>
  <c r="E68" i="8"/>
  <c r="E64" i="8"/>
  <c r="E73" i="8"/>
  <c r="E65" i="8"/>
  <c r="E79" i="8"/>
  <c r="E75" i="8"/>
  <c r="E71" i="8"/>
  <c r="E67" i="8"/>
  <c r="E78" i="8"/>
  <c r="E74" i="8"/>
  <c r="E70" i="8"/>
  <c r="E66" i="8"/>
  <c r="E77" i="8"/>
  <c r="E25" i="14"/>
  <c r="E21" i="14"/>
  <c r="E17" i="14"/>
  <c r="E13" i="14"/>
  <c r="E24" i="14"/>
  <c r="E20" i="14"/>
  <c r="E16" i="14"/>
  <c r="E27" i="14"/>
  <c r="E23" i="14"/>
  <c r="E19" i="14"/>
  <c r="E15" i="14"/>
  <c r="E26" i="14"/>
  <c r="E22" i="14"/>
  <c r="E18" i="14"/>
  <c r="E14" i="14"/>
  <c r="G74" i="8" l="1"/>
  <c r="G75" i="8"/>
  <c r="G64" i="8"/>
  <c r="G73" i="8"/>
  <c r="G65" i="8"/>
  <c r="G78" i="8"/>
  <c r="G79" i="8"/>
  <c r="G68" i="8"/>
  <c r="G66" i="8"/>
  <c r="G67" i="8"/>
  <c r="G69" i="8"/>
  <c r="G72" i="8"/>
  <c r="G70" i="8"/>
  <c r="G71" i="8"/>
  <c r="G77" i="8"/>
  <c r="G76" i="8"/>
  <c r="C28" i="14"/>
  <c r="C11" i="11"/>
  <c r="D11" i="11" s="1"/>
  <c r="C12" i="11"/>
  <c r="D12" i="11" s="1"/>
  <c r="B22" i="12"/>
  <c r="B21" i="9"/>
  <c r="B17" i="9"/>
  <c r="B13" i="9"/>
  <c r="B9" i="9"/>
  <c r="B20" i="9"/>
  <c r="B16" i="9"/>
  <c r="B12" i="9"/>
  <c r="B8" i="9"/>
  <c r="B19" i="9"/>
  <c r="B15" i="9"/>
  <c r="B11" i="9"/>
  <c r="B7" i="9"/>
  <c r="B18" i="9"/>
  <c r="B14" i="9"/>
  <c r="B10" i="9"/>
  <c r="M73" i="6"/>
  <c r="C25" i="11"/>
  <c r="D25" i="11" s="1"/>
  <c r="C24" i="11"/>
  <c r="D24" i="11" s="1"/>
  <c r="C23" i="11"/>
  <c r="D23" i="11" s="1"/>
  <c r="C22" i="11"/>
  <c r="D22" i="11" s="1"/>
  <c r="C21" i="11"/>
  <c r="D21" i="11" s="1"/>
  <c r="C20" i="11"/>
  <c r="D20" i="11" s="1"/>
  <c r="C19" i="11"/>
  <c r="D19" i="11" s="1"/>
  <c r="C18" i="11"/>
  <c r="D18" i="11" s="1"/>
  <c r="C17" i="11"/>
  <c r="D17" i="11" s="1"/>
  <c r="C16" i="11"/>
  <c r="D16" i="11" s="1"/>
  <c r="C15" i="11"/>
  <c r="D15" i="11" s="1"/>
  <c r="C14" i="11"/>
  <c r="D14" i="11" s="1"/>
  <c r="C13" i="11"/>
  <c r="D13" i="11" s="1"/>
  <c r="C10" i="11"/>
  <c r="D10" i="11" s="1"/>
  <c r="K129" i="6"/>
  <c r="J129" i="6"/>
  <c r="I129" i="6"/>
  <c r="H129" i="6"/>
  <c r="G129" i="6"/>
  <c r="F129" i="6"/>
  <c r="K117" i="6"/>
  <c r="J117" i="6"/>
  <c r="I117" i="6"/>
  <c r="H117" i="6"/>
  <c r="G117" i="6"/>
  <c r="F117" i="6"/>
  <c r="K105" i="6"/>
  <c r="J105" i="6"/>
  <c r="I105" i="6"/>
  <c r="H105" i="6"/>
  <c r="G105" i="6"/>
  <c r="F105" i="6"/>
  <c r="K99" i="6"/>
  <c r="J99" i="6"/>
  <c r="I99" i="6"/>
  <c r="H99" i="6"/>
  <c r="G99" i="6"/>
  <c r="F99" i="6"/>
  <c r="K93" i="6"/>
  <c r="J93" i="6"/>
  <c r="I93" i="6"/>
  <c r="H93" i="6"/>
  <c r="G93" i="6"/>
  <c r="F93" i="6"/>
  <c r="K75" i="6"/>
  <c r="J75" i="6"/>
  <c r="I75" i="6"/>
  <c r="H75" i="6"/>
  <c r="G75" i="6"/>
  <c r="F75" i="6"/>
  <c r="K69" i="6"/>
  <c r="J69" i="6"/>
  <c r="I69" i="6"/>
  <c r="H69" i="6"/>
  <c r="G69" i="6"/>
  <c r="F69" i="6"/>
  <c r="K63" i="6"/>
  <c r="J63" i="6"/>
  <c r="I63" i="6"/>
  <c r="H63" i="6"/>
  <c r="G63" i="6"/>
  <c r="F63" i="6"/>
  <c r="K51" i="6"/>
  <c r="J51" i="6"/>
  <c r="I51" i="6"/>
  <c r="H51" i="6"/>
  <c r="G51" i="6"/>
  <c r="F51" i="6"/>
  <c r="K45" i="6"/>
  <c r="J45" i="6"/>
  <c r="I45" i="6"/>
  <c r="H45" i="6"/>
  <c r="G45" i="6"/>
  <c r="F45" i="6"/>
  <c r="M127" i="6"/>
  <c r="K128" i="6"/>
  <c r="J128" i="6"/>
  <c r="I128" i="6"/>
  <c r="H128" i="6"/>
  <c r="M121" i="6"/>
  <c r="K122" i="6"/>
  <c r="J122" i="6"/>
  <c r="I122" i="6"/>
  <c r="H122" i="6"/>
  <c r="M115" i="6"/>
  <c r="K116" i="6"/>
  <c r="J116" i="6"/>
  <c r="I116" i="6"/>
  <c r="H116" i="6"/>
  <c r="M109" i="6"/>
  <c r="K110" i="6"/>
  <c r="J110" i="6"/>
  <c r="I110" i="6"/>
  <c r="H110" i="6"/>
  <c r="M103" i="6"/>
  <c r="K104" i="6"/>
  <c r="J104" i="6"/>
  <c r="I104" i="6"/>
  <c r="H104" i="6"/>
  <c r="M97" i="6"/>
  <c r="K98" i="6"/>
  <c r="J98" i="6"/>
  <c r="I98" i="6"/>
  <c r="H98" i="6"/>
  <c r="M91" i="6"/>
  <c r="K92" i="6"/>
  <c r="K94" i="6" s="1"/>
  <c r="J92" i="6"/>
  <c r="J94" i="6" s="1"/>
  <c r="I92" i="6"/>
  <c r="I94" i="6" s="1"/>
  <c r="H92" i="6"/>
  <c r="H94" i="6" s="1"/>
  <c r="M85" i="6"/>
  <c r="K86" i="6"/>
  <c r="J86" i="6"/>
  <c r="I86" i="6"/>
  <c r="H86" i="6"/>
  <c r="M79" i="6"/>
  <c r="K80" i="6"/>
  <c r="J80" i="6"/>
  <c r="I80" i="6"/>
  <c r="H80" i="6"/>
  <c r="K74" i="6"/>
  <c r="J74" i="6"/>
  <c r="I74" i="6"/>
  <c r="H74" i="6"/>
  <c r="M67" i="6"/>
  <c r="K68" i="6"/>
  <c r="J68" i="6"/>
  <c r="I68" i="6"/>
  <c r="H68" i="6"/>
  <c r="M61" i="6"/>
  <c r="K62" i="6"/>
  <c r="J62" i="6"/>
  <c r="J64" i="6" s="1"/>
  <c r="I62" i="6"/>
  <c r="I64" i="6" s="1"/>
  <c r="H62" i="6"/>
  <c r="H64" i="6" s="1"/>
  <c r="M55" i="6"/>
  <c r="M49" i="6"/>
  <c r="M37" i="6"/>
  <c r="M43" i="6"/>
  <c r="K56" i="6"/>
  <c r="J56" i="6"/>
  <c r="I56" i="6"/>
  <c r="H56" i="6"/>
  <c r="K50" i="6"/>
  <c r="J50" i="6"/>
  <c r="I50" i="6"/>
  <c r="H50" i="6"/>
  <c r="K44" i="6"/>
  <c r="J44" i="6"/>
  <c r="I44" i="6"/>
  <c r="H44" i="6"/>
  <c r="K38" i="6"/>
  <c r="J38" i="6"/>
  <c r="I38" i="6"/>
  <c r="H38" i="6"/>
  <c r="K111" i="6"/>
  <c r="J111" i="6"/>
  <c r="I87" i="6"/>
  <c r="H81" i="6"/>
  <c r="G111" i="6"/>
  <c r="K123" i="6"/>
  <c r="J123" i="6"/>
  <c r="I123" i="6"/>
  <c r="H57" i="6"/>
  <c r="G123" i="6"/>
  <c r="F123" i="6"/>
  <c r="B19" i="12" l="1"/>
  <c r="B20" i="12"/>
  <c r="B21" i="12"/>
  <c r="B8" i="12"/>
  <c r="B9" i="12"/>
  <c r="B10" i="12"/>
  <c r="B11" i="12"/>
  <c r="B12" i="12"/>
  <c r="B13" i="12"/>
  <c r="B14" i="12"/>
  <c r="B15" i="12"/>
  <c r="B16" i="12"/>
  <c r="B17" i="12"/>
  <c r="B18" i="12"/>
  <c r="J8" i="12"/>
  <c r="N8" i="22" s="1"/>
  <c r="P8" i="22" s="1"/>
  <c r="D7" i="9"/>
  <c r="J9" i="12"/>
  <c r="N9" i="22" s="1"/>
  <c r="P9" i="22" s="1"/>
  <c r="D8" i="9"/>
  <c r="J10" i="12"/>
  <c r="N10" i="22" s="1"/>
  <c r="P10" i="22" s="1"/>
  <c r="D9" i="9"/>
  <c r="J11" i="12"/>
  <c r="N11" i="22" s="1"/>
  <c r="P11" i="22" s="1"/>
  <c r="D10" i="9"/>
  <c r="J12" i="12"/>
  <c r="N12" i="22" s="1"/>
  <c r="P12" i="22" s="1"/>
  <c r="D11" i="9"/>
  <c r="J13" i="12"/>
  <c r="N13" i="22" s="1"/>
  <c r="P13" i="22" s="1"/>
  <c r="D12" i="9"/>
  <c r="J14" i="12"/>
  <c r="N14" i="22" s="1"/>
  <c r="P14" i="22" s="1"/>
  <c r="D13" i="9"/>
  <c r="J15" i="12"/>
  <c r="N15" i="22" s="1"/>
  <c r="P15" i="22" s="1"/>
  <c r="D14" i="9"/>
  <c r="J16" i="12"/>
  <c r="N16" i="22" s="1"/>
  <c r="P16" i="22" s="1"/>
  <c r="D15" i="9"/>
  <c r="J17" i="12"/>
  <c r="N17" i="22" s="1"/>
  <c r="P17" i="22" s="1"/>
  <c r="D16" i="9"/>
  <c r="J18" i="12"/>
  <c r="N18" i="22" s="1"/>
  <c r="P18" i="22" s="1"/>
  <c r="D17" i="9"/>
  <c r="J19" i="12"/>
  <c r="N19" i="22" s="1"/>
  <c r="P19" i="22" s="1"/>
  <c r="D18" i="9"/>
  <c r="J20" i="12"/>
  <c r="N20" i="22" s="1"/>
  <c r="P20" i="22" s="1"/>
  <c r="D19" i="9"/>
  <c r="J21" i="12"/>
  <c r="N21" i="22" s="1"/>
  <c r="P21" i="22" s="1"/>
  <c r="D20" i="9"/>
  <c r="J22" i="12"/>
  <c r="N22" i="22" s="1"/>
  <c r="P22" i="22" s="1"/>
  <c r="F111" i="6"/>
  <c r="B22" i="22"/>
  <c r="G80" i="8"/>
  <c r="B7" i="12"/>
  <c r="C22" i="5"/>
  <c r="E22" i="12" s="1"/>
  <c r="H22" i="22" s="1"/>
  <c r="C18" i="5"/>
  <c r="E18" i="12" s="1"/>
  <c r="H18" i="22" s="1"/>
  <c r="C9" i="5"/>
  <c r="E9" i="12" s="1"/>
  <c r="H9" i="22" s="1"/>
  <c r="C17" i="5"/>
  <c r="E17" i="12" s="1"/>
  <c r="H17" i="22" s="1"/>
  <c r="C14" i="5"/>
  <c r="E14" i="12" s="1"/>
  <c r="H14" i="22" s="1"/>
  <c r="C15" i="5"/>
  <c r="E15" i="12" s="1"/>
  <c r="H15" i="22" s="1"/>
  <c r="C8" i="5"/>
  <c r="E8" i="12" s="1"/>
  <c r="H8" i="22" s="1"/>
  <c r="C12" i="5"/>
  <c r="E12" i="12" s="1"/>
  <c r="H12" i="22" s="1"/>
  <c r="C16" i="5"/>
  <c r="E16" i="12" s="1"/>
  <c r="H16" i="22" s="1"/>
  <c r="C20" i="5"/>
  <c r="E20" i="12" s="1"/>
  <c r="H20" i="22" s="1"/>
  <c r="C21" i="9"/>
  <c r="D21" i="9" s="1"/>
  <c r="B6" i="9"/>
  <c r="D30" i="10"/>
  <c r="J27" i="12" s="1"/>
  <c r="C13" i="5"/>
  <c r="E13" i="12" s="1"/>
  <c r="H13" i="22" s="1"/>
  <c r="C21" i="5"/>
  <c r="E21" i="12" s="1"/>
  <c r="H21" i="22" s="1"/>
  <c r="C10" i="5"/>
  <c r="E10" i="12" s="1"/>
  <c r="H10" i="22" s="1"/>
  <c r="C11" i="5"/>
  <c r="E11" i="12" s="1"/>
  <c r="H11" i="22" s="1"/>
  <c r="C19" i="5"/>
  <c r="E19" i="12" s="1"/>
  <c r="H19" i="22" s="1"/>
  <c r="C26" i="11"/>
  <c r="K130" i="6"/>
  <c r="J52" i="6"/>
  <c r="K70" i="6"/>
  <c r="H76" i="6"/>
  <c r="G57" i="6"/>
  <c r="J57" i="6"/>
  <c r="J58" i="6" s="1"/>
  <c r="J70" i="6"/>
  <c r="H100" i="6"/>
  <c r="K57" i="6"/>
  <c r="K58" i="6" s="1"/>
  <c r="J106" i="6"/>
  <c r="H118" i="6"/>
  <c r="J130" i="6"/>
  <c r="F57" i="6"/>
  <c r="H123" i="6"/>
  <c r="H124" i="6" s="1"/>
  <c r="H70" i="6"/>
  <c r="I106" i="6"/>
  <c r="K118" i="6"/>
  <c r="I57" i="6"/>
  <c r="I58" i="6" s="1"/>
  <c r="I70" i="6"/>
  <c r="H130" i="6"/>
  <c r="I130" i="6"/>
  <c r="I118" i="6"/>
  <c r="J118" i="6"/>
  <c r="K106" i="6"/>
  <c r="H106" i="6"/>
  <c r="I100" i="6"/>
  <c r="J100" i="6"/>
  <c r="K100" i="6"/>
  <c r="I76" i="6"/>
  <c r="J76" i="6"/>
  <c r="K76" i="6"/>
  <c r="K64" i="6"/>
  <c r="K52" i="6"/>
  <c r="I52" i="6"/>
  <c r="F87" i="6"/>
  <c r="J46" i="6"/>
  <c r="F81" i="6"/>
  <c r="I81" i="6"/>
  <c r="I82" i="6" s="1"/>
  <c r="K124" i="6"/>
  <c r="K46" i="6"/>
  <c r="K81" i="6"/>
  <c r="K82" i="6" s="1"/>
  <c r="J87" i="6"/>
  <c r="J88" i="6" s="1"/>
  <c r="G81" i="6"/>
  <c r="K87" i="6"/>
  <c r="K88" i="6" s="1"/>
  <c r="J81" i="6"/>
  <c r="J82" i="6" s="1"/>
  <c r="G87" i="6"/>
  <c r="H39" i="6"/>
  <c r="H40" i="6" s="1"/>
  <c r="H111" i="6"/>
  <c r="H112" i="6" s="1"/>
  <c r="I46" i="6"/>
  <c r="H82" i="6"/>
  <c r="I39" i="6"/>
  <c r="I40" i="6" s="1"/>
  <c r="I111" i="6"/>
  <c r="I112" i="6" s="1"/>
  <c r="I88" i="6"/>
  <c r="I124" i="6"/>
  <c r="F39" i="6"/>
  <c r="J39" i="6"/>
  <c r="J40" i="6" s="1"/>
  <c r="H87" i="6"/>
  <c r="H88" i="6" s="1"/>
  <c r="G39" i="6"/>
  <c r="K39" i="6"/>
  <c r="K40" i="6" s="1"/>
  <c r="H46" i="6"/>
  <c r="J124" i="6"/>
  <c r="J112" i="6"/>
  <c r="K112" i="6"/>
  <c r="H58" i="6"/>
  <c r="H52" i="6"/>
  <c r="B49" i="14"/>
  <c r="B48" i="14"/>
  <c r="B47" i="14"/>
  <c r="B46" i="14"/>
  <c r="B45" i="14"/>
  <c r="B44" i="14"/>
  <c r="B43" i="14"/>
  <c r="B42" i="14"/>
  <c r="B41" i="14"/>
  <c r="B40" i="14"/>
  <c r="B39" i="14"/>
  <c r="B38" i="14"/>
  <c r="B37" i="14"/>
  <c r="B36" i="14"/>
  <c r="B35" i="14"/>
  <c r="B34" i="14"/>
  <c r="D26" i="14"/>
  <c r="F58" i="8"/>
  <c r="E58" i="8"/>
  <c r="D58" i="8"/>
  <c r="F56" i="8"/>
  <c r="E56" i="8"/>
  <c r="D56" i="8"/>
  <c r="F54" i="8"/>
  <c r="E54" i="8"/>
  <c r="D54" i="8"/>
  <c r="F53" i="8"/>
  <c r="E53" i="8"/>
  <c r="D53" i="8"/>
  <c r="F52" i="8"/>
  <c r="E52" i="8"/>
  <c r="D52" i="8"/>
  <c r="F49" i="8"/>
  <c r="E49" i="8"/>
  <c r="D49" i="8"/>
  <c r="F48" i="8"/>
  <c r="E48" i="8"/>
  <c r="D48" i="8"/>
  <c r="F47" i="8"/>
  <c r="E47" i="8"/>
  <c r="D47" i="8"/>
  <c r="F45" i="8"/>
  <c r="E45" i="8"/>
  <c r="D45" i="8"/>
  <c r="F44" i="8"/>
  <c r="E44" i="8"/>
  <c r="D44" i="8"/>
  <c r="B12" i="22" l="1"/>
  <c r="D12" i="22" s="1"/>
  <c r="B11" i="22"/>
  <c r="D11" i="22" s="1"/>
  <c r="B17" i="22"/>
  <c r="D17" i="22" s="1"/>
  <c r="B9" i="22"/>
  <c r="D9" i="22" s="1"/>
  <c r="B10" i="22"/>
  <c r="D10" i="22" s="1"/>
  <c r="B16" i="22"/>
  <c r="D16" i="22" s="1"/>
  <c r="B8" i="22"/>
  <c r="D8" i="22" s="1"/>
  <c r="B15" i="22"/>
  <c r="D15" i="22" s="1"/>
  <c r="B21" i="22"/>
  <c r="D21" i="22" s="1"/>
  <c r="B18" i="22"/>
  <c r="D18" i="22" s="1"/>
  <c r="B14" i="22"/>
  <c r="D14" i="22" s="1"/>
  <c r="B20" i="22"/>
  <c r="D20" i="22" s="1"/>
  <c r="B13" i="22"/>
  <c r="D13" i="22" s="1"/>
  <c r="B19" i="22"/>
  <c r="D19" i="22" s="1"/>
  <c r="G48" i="8"/>
  <c r="B11" i="7" s="1"/>
  <c r="G49" i="8"/>
  <c r="B12" i="7" s="1"/>
  <c r="G45" i="8"/>
  <c r="B8" i="7" s="1"/>
  <c r="G58" i="8"/>
  <c r="B21" i="7" s="1"/>
  <c r="G53" i="8"/>
  <c r="B16" i="7" s="1"/>
  <c r="G54" i="8"/>
  <c r="B17" i="7" s="1"/>
  <c r="G47" i="8"/>
  <c r="B10" i="7" s="1"/>
  <c r="G52" i="8"/>
  <c r="B15" i="7" s="1"/>
  <c r="G44" i="8"/>
  <c r="B7" i="7" s="1"/>
  <c r="G56" i="8"/>
  <c r="B19" i="7" s="1"/>
  <c r="J22" i="22"/>
  <c r="J10" i="22"/>
  <c r="J12" i="22"/>
  <c r="J17" i="22"/>
  <c r="J16" i="22"/>
  <c r="J21" i="22"/>
  <c r="J8" i="22"/>
  <c r="J9" i="22"/>
  <c r="J11" i="22"/>
  <c r="J14" i="22"/>
  <c r="J19" i="22"/>
  <c r="J13" i="22"/>
  <c r="J20" i="22"/>
  <c r="J15" i="22"/>
  <c r="J18" i="22"/>
  <c r="J7" i="12"/>
  <c r="D6" i="9"/>
  <c r="B7" i="22"/>
  <c r="B26" i="12"/>
  <c r="B50" i="12" s="1"/>
  <c r="B23" i="3"/>
  <c r="B22" i="9"/>
  <c r="E32" i="10" s="1"/>
  <c r="C22" i="9"/>
  <c r="D26" i="11"/>
  <c r="E27" i="12" s="1"/>
  <c r="C7" i="5"/>
  <c r="B50" i="14"/>
  <c r="E28" i="14"/>
  <c r="D27" i="14"/>
  <c r="D15" i="14"/>
  <c r="D19" i="14"/>
  <c r="D23" i="14"/>
  <c r="D12" i="14"/>
  <c r="D16" i="14"/>
  <c r="D20" i="14"/>
  <c r="D24" i="14"/>
  <c r="D13" i="14"/>
  <c r="D17" i="14"/>
  <c r="D21" i="14"/>
  <c r="D25" i="14"/>
  <c r="D14" i="14"/>
  <c r="D18" i="14"/>
  <c r="D22" i="14"/>
  <c r="B30" i="12" l="1"/>
  <c r="B32" i="12" s="1"/>
  <c r="N7" i="22"/>
  <c r="P7" i="22" s="1"/>
  <c r="J26" i="12"/>
  <c r="C8" i="23" s="1"/>
  <c r="C5" i="23"/>
  <c r="H18" i="12"/>
  <c r="H22" i="12"/>
  <c r="H20" i="12"/>
  <c r="H17" i="12"/>
  <c r="H8" i="12"/>
  <c r="H16" i="12"/>
  <c r="H12" i="12"/>
  <c r="H11" i="12"/>
  <c r="H13" i="12"/>
  <c r="H9" i="12"/>
  <c r="D7" i="22"/>
  <c r="B24" i="22"/>
  <c r="D24" i="22" s="1"/>
  <c r="C23" i="5"/>
  <c r="J26" i="11" s="1"/>
  <c r="E7" i="12"/>
  <c r="Q22" i="22"/>
  <c r="D22" i="9"/>
  <c r="D28" i="14"/>
  <c r="D32" i="10"/>
  <c r="J50" i="12" l="1"/>
  <c r="J30" i="12" s="1"/>
  <c r="J32" i="12" s="1"/>
  <c r="Q24" i="22"/>
  <c r="K50" i="12"/>
  <c r="N24" i="22"/>
  <c r="P24" i="22" s="1"/>
  <c r="B26" i="22"/>
  <c r="E26" i="12"/>
  <c r="E50" i="12" s="1"/>
  <c r="E30" i="12" s="1"/>
  <c r="E32" i="12" s="1"/>
  <c r="H7" i="22"/>
  <c r="Q26" i="22"/>
  <c r="S24" i="22"/>
  <c r="D34" i="14"/>
  <c r="D35" i="14"/>
  <c r="D37" i="14"/>
  <c r="D39" i="14"/>
  <c r="D36" i="14"/>
  <c r="D46" i="14"/>
  <c r="D44" i="14"/>
  <c r="D42" i="14"/>
  <c r="D49" i="14"/>
  <c r="D45" i="14"/>
  <c r="D47" i="14"/>
  <c r="D38" i="14"/>
  <c r="D41" i="14"/>
  <c r="D43" i="14"/>
  <c r="D48" i="14"/>
  <c r="D40" i="14"/>
  <c r="N26" i="22" l="1"/>
  <c r="H24" i="22"/>
  <c r="H26" i="22" s="1"/>
  <c r="J7" i="22"/>
  <c r="D50" i="14"/>
  <c r="C6" i="7"/>
  <c r="I7" i="12" s="1"/>
  <c r="J24" i="22" l="1"/>
  <c r="C17" i="7"/>
  <c r="C13" i="7"/>
  <c r="I14" i="12" s="1"/>
  <c r="C9" i="7"/>
  <c r="I10" i="12" s="1"/>
  <c r="C11" i="7"/>
  <c r="C15" i="7"/>
  <c r="C14" i="7"/>
  <c r="I15" i="12" s="1"/>
  <c r="C8" i="7"/>
  <c r="C7" i="7"/>
  <c r="C10" i="7"/>
  <c r="C19" i="7"/>
  <c r="C21" i="7"/>
  <c r="C16" i="7"/>
  <c r="C18" i="7"/>
  <c r="I19" i="12" s="1"/>
  <c r="C20" i="7"/>
  <c r="I21" i="12" s="1"/>
  <c r="C12" i="7"/>
  <c r="I18" i="12" l="1"/>
  <c r="D17" i="7"/>
  <c r="E17" i="7" s="1"/>
  <c r="K18" i="22" s="1"/>
  <c r="I16" i="12"/>
  <c r="D15" i="7"/>
  <c r="E15" i="7" s="1"/>
  <c r="K16" i="22" s="1"/>
  <c r="I17" i="12"/>
  <c r="D16" i="7"/>
  <c r="E16" i="7" s="1"/>
  <c r="K17" i="22" s="1"/>
  <c r="I20" i="12"/>
  <c r="D19" i="7"/>
  <c r="E19" i="7" s="1"/>
  <c r="K20" i="22" s="1"/>
  <c r="I8" i="12"/>
  <c r="D7" i="7"/>
  <c r="E7" i="7" s="1"/>
  <c r="K8" i="22" s="1"/>
  <c r="I12" i="12"/>
  <c r="D11" i="7"/>
  <c r="E11" i="7" s="1"/>
  <c r="K12" i="22" s="1"/>
  <c r="I22" i="12"/>
  <c r="D21" i="7"/>
  <c r="E21" i="7" s="1"/>
  <c r="K22" i="22" s="1"/>
  <c r="I11" i="12"/>
  <c r="D10" i="7"/>
  <c r="E10" i="7" s="1"/>
  <c r="K11" i="22" s="1"/>
  <c r="I13" i="12"/>
  <c r="D12" i="7"/>
  <c r="E12" i="7" s="1"/>
  <c r="K13" i="22" s="1"/>
  <c r="I9" i="12"/>
  <c r="D8" i="7"/>
  <c r="E8" i="7" s="1"/>
  <c r="K9" i="22" s="1"/>
  <c r="C22" i="7"/>
  <c r="I27" i="12" s="1"/>
  <c r="I26" i="12" l="1"/>
  <c r="M9" i="22"/>
  <c r="D52" i="14"/>
  <c r="M8" i="22"/>
  <c r="M16" i="22"/>
  <c r="M11" i="22"/>
  <c r="M17" i="22"/>
  <c r="M13" i="22"/>
  <c r="M18" i="22"/>
  <c r="M20" i="22"/>
  <c r="M12" i="22"/>
  <c r="M22" i="22"/>
  <c r="B38" i="8"/>
  <c r="C38" i="8"/>
  <c r="D38" i="8"/>
  <c r="E38" i="8"/>
  <c r="F38" i="8"/>
  <c r="C17" i="8"/>
  <c r="C16" i="8"/>
  <c r="I50" i="12" l="1"/>
  <c r="I30" i="12" s="1"/>
  <c r="I32" i="12" s="1"/>
  <c r="H38" i="8"/>
  <c r="D25" i="30"/>
  <c r="D31" i="30" s="1"/>
  <c r="D24" i="30"/>
  <c r="D43" i="8"/>
  <c r="L38" i="8"/>
  <c r="E46" i="8"/>
  <c r="D57" i="8"/>
  <c r="F57" i="8"/>
  <c r="F46" i="8"/>
  <c r="E57" i="8"/>
  <c r="D46" i="8"/>
  <c r="D50" i="8"/>
  <c r="E55" i="8"/>
  <c r="D55" i="8"/>
  <c r="E51" i="8"/>
  <c r="F50" i="8"/>
  <c r="D51" i="8"/>
  <c r="E50" i="8"/>
  <c r="F43" i="8"/>
  <c r="F55" i="8"/>
  <c r="E43" i="8"/>
  <c r="F51" i="8"/>
  <c r="G51" i="8" l="1"/>
  <c r="B14" i="7" s="1"/>
  <c r="F59" i="8"/>
  <c r="E59" i="8"/>
  <c r="D59" i="8"/>
  <c r="G46" i="8"/>
  <c r="B9" i="7" s="1"/>
  <c r="G57" i="8"/>
  <c r="B20" i="7" s="1"/>
  <c r="G55" i="8"/>
  <c r="B18" i="7" s="1"/>
  <c r="G50" i="8"/>
  <c r="B13" i="7" s="1"/>
  <c r="G43" i="8"/>
  <c r="B6" i="7" s="1"/>
  <c r="D18" i="7" l="1"/>
  <c r="E18" i="7" s="1"/>
  <c r="H19" i="12"/>
  <c r="D14" i="7"/>
  <c r="E14" i="7" s="1"/>
  <c r="H15" i="12"/>
  <c r="D13" i="7"/>
  <c r="E13" i="7" s="1"/>
  <c r="H14" i="12"/>
  <c r="D20" i="7"/>
  <c r="E20" i="7" s="1"/>
  <c r="H21" i="12"/>
  <c r="D6" i="7"/>
  <c r="E6" i="7" s="1"/>
  <c r="H7" i="12"/>
  <c r="D9" i="7"/>
  <c r="E9" i="7" s="1"/>
  <c r="H10" i="12"/>
  <c r="G59" i="8"/>
  <c r="B22" i="7" s="1"/>
  <c r="H27" i="12" s="1"/>
  <c r="H26" i="12" l="1"/>
  <c r="K7" i="22"/>
  <c r="M7" i="22" s="1"/>
  <c r="K15" i="22"/>
  <c r="K10" i="22"/>
  <c r="K14" i="22"/>
  <c r="K19" i="22"/>
  <c r="K21" i="22"/>
  <c r="L59" i="8"/>
  <c r="D22" i="7"/>
  <c r="E22" i="7"/>
  <c r="C7" i="23" l="1"/>
  <c r="H50" i="12"/>
  <c r="H30" i="12" s="1"/>
  <c r="H32" i="12" s="1"/>
  <c r="M14" i="22"/>
  <c r="M15" i="22"/>
  <c r="M10" i="22"/>
  <c r="K24" i="22"/>
  <c r="M24" i="22" s="1"/>
  <c r="M21" i="22"/>
  <c r="M19" i="22"/>
  <c r="K26" i="22" l="1"/>
  <c r="B27" i="20"/>
  <c r="D5" i="20" l="1"/>
  <c r="D24" i="20" s="1"/>
  <c r="G24" i="20" l="1"/>
  <c r="W22" i="22" s="1"/>
  <c r="F24" i="20"/>
  <c r="D16" i="20"/>
  <c r="D18" i="20"/>
  <c r="D9" i="20"/>
  <c r="D12" i="20"/>
  <c r="D21" i="20"/>
  <c r="D19" i="20"/>
  <c r="D17" i="20"/>
  <c r="D22" i="20"/>
  <c r="D15" i="20"/>
  <c r="D23" i="20"/>
  <c r="D13" i="20"/>
  <c r="D14" i="20"/>
  <c r="D20" i="20"/>
  <c r="D11" i="20"/>
  <c r="D10" i="20"/>
  <c r="E12" i="20"/>
  <c r="E24" i="20"/>
  <c r="G20" i="20" l="1"/>
  <c r="W18" i="22" s="1"/>
  <c r="F20" i="20"/>
  <c r="E21" i="20"/>
  <c r="G21" i="20"/>
  <c r="W19" i="22" s="1"/>
  <c r="F21" i="20"/>
  <c r="E11" i="20"/>
  <c r="G11" i="20"/>
  <c r="W9" i="22" s="1"/>
  <c r="F11" i="20"/>
  <c r="E23" i="20"/>
  <c r="G23" i="20"/>
  <c r="W21" i="22" s="1"/>
  <c r="F23" i="20"/>
  <c r="G19" i="20"/>
  <c r="W17" i="22" s="1"/>
  <c r="F19" i="20"/>
  <c r="G18" i="20"/>
  <c r="W16" i="22" s="1"/>
  <c r="F18" i="20"/>
  <c r="E16" i="20"/>
  <c r="G16" i="20"/>
  <c r="W14" i="22" s="1"/>
  <c r="F16" i="20"/>
  <c r="G12" i="20"/>
  <c r="W10" i="22" s="1"/>
  <c r="F12" i="20"/>
  <c r="G15" i="20"/>
  <c r="W13" i="22" s="1"/>
  <c r="F15" i="20"/>
  <c r="G14" i="20"/>
  <c r="W12" i="22" s="1"/>
  <c r="F14" i="20"/>
  <c r="G22" i="20"/>
  <c r="W20" i="22" s="1"/>
  <c r="F22" i="20"/>
  <c r="G10" i="20"/>
  <c r="W8" i="22" s="1"/>
  <c r="F10" i="20"/>
  <c r="G13" i="20"/>
  <c r="W11" i="22" s="1"/>
  <c r="F13" i="20"/>
  <c r="G17" i="20"/>
  <c r="W15" i="22" s="1"/>
  <c r="F17" i="20"/>
  <c r="E9" i="20"/>
  <c r="G9" i="20"/>
  <c r="F9" i="20"/>
  <c r="Y22" i="22"/>
  <c r="E18" i="20"/>
  <c r="E19" i="20"/>
  <c r="E22" i="20"/>
  <c r="E20" i="20"/>
  <c r="E17" i="20"/>
  <c r="E15" i="20"/>
  <c r="E13" i="20"/>
  <c r="E14" i="20"/>
  <c r="D25" i="20"/>
  <c r="E10" i="20"/>
  <c r="X24" i="22" s="1"/>
  <c r="Y10" i="22" l="1"/>
  <c r="W7" i="22"/>
  <c r="Y11" i="22"/>
  <c r="Y8" i="22"/>
  <c r="Y18" i="22"/>
  <c r="Y21" i="22"/>
  <c r="Y16" i="22"/>
  <c r="Y14" i="22"/>
  <c r="Y12" i="22"/>
  <c r="Y17" i="22"/>
  <c r="Y20" i="22"/>
  <c r="Y15" i="22"/>
  <c r="Y9" i="22"/>
  <c r="Y13" i="22"/>
  <c r="Y19" i="22"/>
  <c r="G25" i="20"/>
  <c r="E25" i="20"/>
  <c r="F25" i="20"/>
  <c r="Y7" i="22" l="1"/>
  <c r="W24" i="22"/>
  <c r="D36" i="15" l="1"/>
  <c r="D41" i="15" s="1"/>
  <c r="D45" i="15" s="1"/>
  <c r="D49" i="15" s="1"/>
  <c r="D53" i="15" s="1"/>
  <c r="D57" i="15" s="1"/>
  <c r="C36" i="15"/>
  <c r="C41" i="15" s="1"/>
  <c r="C45" i="15" s="1"/>
  <c r="C49" i="15" s="1"/>
  <c r="C53" i="15" s="1"/>
  <c r="C57" i="15" s="1"/>
  <c r="F38" i="6" l="1"/>
  <c r="F98" i="6"/>
  <c r="F104" i="6"/>
  <c r="F62" i="6"/>
  <c r="F50" i="6"/>
  <c r="F110" i="6"/>
  <c r="F68" i="6"/>
  <c r="F116" i="6"/>
  <c r="F74" i="6"/>
  <c r="F56" i="6"/>
  <c r="F122" i="6"/>
  <c r="F128" i="6"/>
  <c r="F80" i="6"/>
  <c r="F86" i="6"/>
  <c r="F92" i="6"/>
  <c r="F44" i="6"/>
  <c r="G104" i="6"/>
  <c r="G106" i="6" s="1"/>
  <c r="G62" i="6"/>
  <c r="G64" i="6" s="1"/>
  <c r="G50" i="6"/>
  <c r="G52" i="6" s="1"/>
  <c r="G110" i="6"/>
  <c r="G112" i="6" s="1"/>
  <c r="G68" i="6"/>
  <c r="G70" i="6" s="1"/>
  <c r="G116" i="6"/>
  <c r="G118" i="6" s="1"/>
  <c r="G74" i="6"/>
  <c r="G76" i="6" s="1"/>
  <c r="G56" i="6"/>
  <c r="G58" i="6" s="1"/>
  <c r="G122" i="6"/>
  <c r="G124" i="6" s="1"/>
  <c r="G128" i="6"/>
  <c r="G130" i="6" s="1"/>
  <c r="G80" i="6"/>
  <c r="G82" i="6" s="1"/>
  <c r="G38" i="6"/>
  <c r="G40" i="6" s="1"/>
  <c r="G86" i="6"/>
  <c r="G88" i="6" s="1"/>
  <c r="G92" i="6"/>
  <c r="G94" i="6" s="1"/>
  <c r="G44" i="6"/>
  <c r="G46" i="6" s="1"/>
  <c r="G98" i="6"/>
  <c r="G100" i="6" s="1"/>
  <c r="B116" i="6" l="1"/>
  <c r="F118" i="6"/>
  <c r="B118" i="6" s="1"/>
  <c r="B20" i="5" s="1"/>
  <c r="H20" i="5" s="1"/>
  <c r="B110" i="6"/>
  <c r="F112" i="6"/>
  <c r="B112" i="6" s="1"/>
  <c r="B19" i="5" s="1"/>
  <c r="H19" i="5" s="1"/>
  <c r="F46" i="6"/>
  <c r="B46" i="6" s="1"/>
  <c r="B8" i="5" s="1"/>
  <c r="H8" i="5" s="1"/>
  <c r="B44" i="6"/>
  <c r="B80" i="6"/>
  <c r="F82" i="6"/>
  <c r="B82" i="6" s="1"/>
  <c r="B14" i="5" s="1"/>
  <c r="H14" i="5" s="1"/>
  <c r="F52" i="6"/>
  <c r="B52" i="6" s="1"/>
  <c r="B9" i="5" s="1"/>
  <c r="H9" i="5" s="1"/>
  <c r="B50" i="6"/>
  <c r="F130" i="6"/>
  <c r="B130" i="6" s="1"/>
  <c r="B22" i="5" s="1"/>
  <c r="H22" i="5" s="1"/>
  <c r="B128" i="6"/>
  <c r="B62" i="6"/>
  <c r="F64" i="6"/>
  <c r="B64" i="6" s="1"/>
  <c r="B11" i="5" s="1"/>
  <c r="H11" i="5" s="1"/>
  <c r="F70" i="6"/>
  <c r="B70" i="6" s="1"/>
  <c r="B12" i="5" s="1"/>
  <c r="H12" i="5" s="1"/>
  <c r="B68" i="6"/>
  <c r="B122" i="6"/>
  <c r="F124" i="6"/>
  <c r="B124" i="6" s="1"/>
  <c r="B21" i="5" s="1"/>
  <c r="H21" i="5" s="1"/>
  <c r="F106" i="6"/>
  <c r="B106" i="6" s="1"/>
  <c r="B18" i="5" s="1"/>
  <c r="H18" i="5" s="1"/>
  <c r="B104" i="6"/>
  <c r="F94" i="6"/>
  <c r="B94" i="6" s="1"/>
  <c r="B16" i="5" s="1"/>
  <c r="H16" i="5" s="1"/>
  <c r="B92" i="6"/>
  <c r="B56" i="6"/>
  <c r="F58" i="6"/>
  <c r="B58" i="6" s="1"/>
  <c r="B10" i="5" s="1"/>
  <c r="H10" i="5" s="1"/>
  <c r="F100" i="6"/>
  <c r="B100" i="6" s="1"/>
  <c r="B17" i="5" s="1"/>
  <c r="H17" i="5" s="1"/>
  <c r="B98" i="6"/>
  <c r="B86" i="6"/>
  <c r="F88" i="6"/>
  <c r="B88" i="6" s="1"/>
  <c r="B15" i="5" s="1"/>
  <c r="H15" i="5" s="1"/>
  <c r="B74" i="6"/>
  <c r="F76" i="6"/>
  <c r="B76" i="6" s="1"/>
  <c r="B13" i="5" s="1"/>
  <c r="H13" i="5" s="1"/>
  <c r="B38" i="6"/>
  <c r="F40" i="6"/>
  <c r="B40" i="6" s="1"/>
  <c r="D133" i="6" l="1"/>
  <c r="C27" i="12" s="1"/>
  <c r="B7" i="5"/>
  <c r="H7" i="5" s="1"/>
  <c r="C14" i="12"/>
  <c r="C12" i="12"/>
  <c r="C13" i="12"/>
  <c r="C11" i="12"/>
  <c r="C8" i="12"/>
  <c r="C15" i="12"/>
  <c r="C19" i="12"/>
  <c r="C16" i="12"/>
  <c r="C22" i="12"/>
  <c r="C10" i="12"/>
  <c r="C21" i="12"/>
  <c r="C20" i="12"/>
  <c r="C18" i="12"/>
  <c r="C17" i="12"/>
  <c r="C9" i="12"/>
  <c r="E22" i="22" l="1"/>
  <c r="T22" i="22" s="1"/>
  <c r="E9" i="22"/>
  <c r="G9" i="22" s="1"/>
  <c r="E14" i="22"/>
  <c r="G14" i="22" s="1"/>
  <c r="L9" i="12"/>
  <c r="M9" i="12" s="1"/>
  <c r="L12" i="12"/>
  <c r="L21" i="12"/>
  <c r="L10" i="12"/>
  <c r="L22" i="12"/>
  <c r="L14" i="12"/>
  <c r="L19" i="12"/>
  <c r="L8" i="12"/>
  <c r="L13" i="12"/>
  <c r="M13" i="12" s="1"/>
  <c r="L17" i="12"/>
  <c r="L15" i="12"/>
  <c r="M15" i="12" s="1"/>
  <c r="L20" i="12"/>
  <c r="L16" i="12"/>
  <c r="L11" i="12"/>
  <c r="E21" i="22"/>
  <c r="G21" i="22" s="1"/>
  <c r="E17" i="22"/>
  <c r="T17" i="22" s="1"/>
  <c r="E10" i="22"/>
  <c r="T10" i="22" s="1"/>
  <c r="E8" i="22"/>
  <c r="G8" i="22" s="1"/>
  <c r="E11" i="22"/>
  <c r="G11" i="22" s="1"/>
  <c r="E19" i="22"/>
  <c r="G19" i="22" s="1"/>
  <c r="E15" i="22"/>
  <c r="T15" i="22" s="1"/>
  <c r="E12" i="22"/>
  <c r="G12" i="22" s="1"/>
  <c r="E13" i="22"/>
  <c r="E18" i="22"/>
  <c r="T18" i="22" s="1"/>
  <c r="L18" i="12"/>
  <c r="E20" i="22"/>
  <c r="E16" i="22"/>
  <c r="C7" i="12"/>
  <c r="B23" i="5"/>
  <c r="T9" i="22" l="1"/>
  <c r="V9" i="22" s="1"/>
  <c r="E133" i="6"/>
  <c r="H23" i="5"/>
  <c r="G22" i="22"/>
  <c r="T14" i="22"/>
  <c r="V14" i="22" s="1"/>
  <c r="G17" i="22"/>
  <c r="O21" i="12"/>
  <c r="X21" i="12" s="1"/>
  <c r="M21" i="12"/>
  <c r="O8" i="12"/>
  <c r="X8" i="12" s="1"/>
  <c r="O19" i="12"/>
  <c r="X19" i="12" s="1"/>
  <c r="O11" i="12"/>
  <c r="X11" i="12" s="1"/>
  <c r="M14" i="12"/>
  <c r="O16" i="12"/>
  <c r="X16" i="12" s="1"/>
  <c r="O22" i="12"/>
  <c r="X22" i="12" s="1"/>
  <c r="O20" i="12"/>
  <c r="X20" i="12" s="1"/>
  <c r="M10" i="12"/>
  <c r="O15" i="12"/>
  <c r="X15" i="12" s="1"/>
  <c r="O17" i="12"/>
  <c r="X17" i="12" s="1"/>
  <c r="O12" i="12"/>
  <c r="X12" i="12" s="1"/>
  <c r="O13" i="12"/>
  <c r="X13" i="12" s="1"/>
  <c r="O9" i="12"/>
  <c r="X9" i="12" s="1"/>
  <c r="M16" i="12"/>
  <c r="M19" i="12"/>
  <c r="O14" i="12"/>
  <c r="X14" i="12" s="1"/>
  <c r="M22" i="12"/>
  <c r="M11" i="12"/>
  <c r="M20" i="12"/>
  <c r="O10" i="12"/>
  <c r="X10" i="12" s="1"/>
  <c r="M8" i="12"/>
  <c r="G15" i="22"/>
  <c r="M17" i="12"/>
  <c r="M12" i="12"/>
  <c r="G10" i="22"/>
  <c r="T8" i="22"/>
  <c r="V8" i="22" s="1"/>
  <c r="T21" i="22"/>
  <c r="V21" i="22" s="1"/>
  <c r="T11" i="22"/>
  <c r="V11" i="22" s="1"/>
  <c r="T12" i="22"/>
  <c r="V12" i="22" s="1"/>
  <c r="T19" i="22"/>
  <c r="V19" i="22" s="1"/>
  <c r="G18" i="22"/>
  <c r="V22" i="22"/>
  <c r="Z22" i="22"/>
  <c r="AB22" i="22" s="1"/>
  <c r="G16" i="22"/>
  <c r="T16" i="22"/>
  <c r="G20" i="22"/>
  <c r="T20" i="22"/>
  <c r="O18" i="12"/>
  <c r="X18" i="12" s="1"/>
  <c r="M18" i="12"/>
  <c r="V18" i="22"/>
  <c r="Z18" i="22"/>
  <c r="AB18" i="22" s="1"/>
  <c r="V15" i="22"/>
  <c r="Z15" i="22"/>
  <c r="AB15" i="22" s="1"/>
  <c r="G13" i="22"/>
  <c r="T13" i="22"/>
  <c r="V17" i="22"/>
  <c r="Z17" i="22"/>
  <c r="AB17" i="22" s="1"/>
  <c r="E7" i="22"/>
  <c r="C26" i="12"/>
  <c r="L7" i="12"/>
  <c r="V10" i="22"/>
  <c r="Z10" i="22"/>
  <c r="AB10" i="22" s="1"/>
  <c r="Y21" i="12" l="1"/>
  <c r="Y15" i="12"/>
  <c r="Y14" i="12"/>
  <c r="Y22" i="12"/>
  <c r="Y9" i="12"/>
  <c r="Y16" i="12"/>
  <c r="Y8" i="12"/>
  <c r="Y10" i="12"/>
  <c r="Y12" i="12"/>
  <c r="Y11" i="12"/>
  <c r="Y17" i="12"/>
  <c r="Y19" i="12"/>
  <c r="C6" i="23"/>
  <c r="C11" i="23" s="1"/>
  <c r="C50" i="12"/>
  <c r="C30" i="12" s="1"/>
  <c r="C32" i="12" s="1"/>
  <c r="C20" i="30"/>
  <c r="Y20" i="12"/>
  <c r="C18" i="30"/>
  <c r="Y18" i="12"/>
  <c r="C13" i="30"/>
  <c r="Y13" i="12"/>
  <c r="Z9" i="22"/>
  <c r="AB9" i="22" s="1"/>
  <c r="P10" i="12"/>
  <c r="C10" i="30"/>
  <c r="P9" i="12"/>
  <c r="C9" i="30"/>
  <c r="P16" i="12"/>
  <c r="C16" i="30"/>
  <c r="P14" i="12"/>
  <c r="C14" i="30"/>
  <c r="B11" i="25"/>
  <c r="C12" i="30"/>
  <c r="P11" i="12"/>
  <c r="C11" i="30"/>
  <c r="P15" i="12"/>
  <c r="C15" i="30"/>
  <c r="B7" i="25"/>
  <c r="C8" i="30"/>
  <c r="B16" i="25"/>
  <c r="C17" i="30"/>
  <c r="P22" i="12"/>
  <c r="C22" i="30"/>
  <c r="P22" i="30" s="1"/>
  <c r="P19" i="12"/>
  <c r="C19" i="30"/>
  <c r="C21" i="30"/>
  <c r="P21" i="12"/>
  <c r="Z14" i="22"/>
  <c r="AB14" i="22" s="1"/>
  <c r="P20" i="12"/>
  <c r="B12" i="25"/>
  <c r="C20" i="25"/>
  <c r="B20" i="25"/>
  <c r="P8" i="12"/>
  <c r="L27" i="12"/>
  <c r="Z19" i="22"/>
  <c r="AB19" i="22" s="1"/>
  <c r="C10" i="25"/>
  <c r="B10" i="25"/>
  <c r="C18" i="25"/>
  <c r="P17" i="12"/>
  <c r="B21" i="25"/>
  <c r="C21" i="25"/>
  <c r="B15" i="25"/>
  <c r="C15" i="25"/>
  <c r="C8" i="25"/>
  <c r="C7" i="25"/>
  <c r="B8" i="25"/>
  <c r="B14" i="25"/>
  <c r="C14" i="25"/>
  <c r="B18" i="25"/>
  <c r="C16" i="25"/>
  <c r="C11" i="25"/>
  <c r="P12" i="12"/>
  <c r="C19" i="25"/>
  <c r="B19" i="25"/>
  <c r="B13" i="25"/>
  <c r="C13" i="25"/>
  <c r="P13" i="12"/>
  <c r="C12" i="25"/>
  <c r="B9" i="25"/>
  <c r="Z21" i="22"/>
  <c r="AB21" i="22" s="1"/>
  <c r="C9" i="25"/>
  <c r="Z8" i="22"/>
  <c r="AB8" i="22" s="1"/>
  <c r="Z11" i="22"/>
  <c r="AB11" i="22" s="1"/>
  <c r="Z12" i="22"/>
  <c r="AB12" i="22" s="1"/>
  <c r="P18" i="12"/>
  <c r="B17" i="25"/>
  <c r="C17" i="25"/>
  <c r="E24" i="22"/>
  <c r="G7" i="22"/>
  <c r="T7" i="22"/>
  <c r="O7" i="12"/>
  <c r="X7" i="12" s="1"/>
  <c r="L26" i="12"/>
  <c r="L50" i="12" s="1"/>
  <c r="L30" i="12" s="1"/>
  <c r="M7" i="12"/>
  <c r="V13" i="22"/>
  <c r="Z13" i="22"/>
  <c r="AB13" i="22" s="1"/>
  <c r="V20" i="22"/>
  <c r="Z20" i="22"/>
  <c r="AB20" i="22" s="1"/>
  <c r="V16" i="22"/>
  <c r="Z16" i="22"/>
  <c r="AB16" i="22" s="1"/>
  <c r="O10" i="30" l="1"/>
  <c r="P10" i="30"/>
  <c r="O12" i="30"/>
  <c r="P12" i="30"/>
  <c r="O8" i="30"/>
  <c r="P8" i="30"/>
  <c r="O14" i="30"/>
  <c r="P14" i="30"/>
  <c r="O21" i="30"/>
  <c r="P21" i="30"/>
  <c r="O19" i="30"/>
  <c r="P19" i="30"/>
  <c r="O15" i="30"/>
  <c r="P15" i="30"/>
  <c r="O16" i="30"/>
  <c r="P16" i="30"/>
  <c r="O13" i="30"/>
  <c r="P13" i="30"/>
  <c r="O17" i="30"/>
  <c r="P17" i="30"/>
  <c r="O20" i="30"/>
  <c r="P20" i="30"/>
  <c r="O22" i="30"/>
  <c r="O11" i="30"/>
  <c r="P11" i="30"/>
  <c r="O9" i="30"/>
  <c r="P9" i="30"/>
  <c r="O18" i="30"/>
  <c r="P18" i="30"/>
  <c r="Y7" i="12"/>
  <c r="X26" i="12"/>
  <c r="C147" i="29"/>
  <c r="C7" i="30"/>
  <c r="P7" i="30" s="1"/>
  <c r="O26" i="12"/>
  <c r="O50" i="12" s="1"/>
  <c r="O30" i="12" s="1"/>
  <c r="V7" i="22"/>
  <c r="T24" i="22"/>
  <c r="Z7" i="22"/>
  <c r="G24" i="22"/>
  <c r="E26" i="22"/>
  <c r="M26" i="12"/>
  <c r="M50" i="12" s="1"/>
  <c r="P7" i="12"/>
  <c r="B6" i="25"/>
  <c r="B22" i="25" s="1"/>
  <c r="C22" i="25" s="1"/>
  <c r="C6" i="25"/>
  <c r="P25" i="30" l="1"/>
  <c r="O7" i="30"/>
  <c r="O25" i="30" s="1"/>
  <c r="R8" i="30"/>
  <c r="Y8" i="30"/>
  <c r="Z8" i="30" s="1"/>
  <c r="R22" i="30"/>
  <c r="Y22" i="30"/>
  <c r="Z22" i="30" s="1"/>
  <c r="R13" i="30"/>
  <c r="Y13" i="30"/>
  <c r="Z13" i="30" s="1"/>
  <c r="R21" i="30"/>
  <c r="Y21" i="30"/>
  <c r="Z21" i="30" s="1"/>
  <c r="R20" i="30"/>
  <c r="Y20" i="30"/>
  <c r="Z20" i="30" s="1"/>
  <c r="R12" i="30"/>
  <c r="Y12" i="30"/>
  <c r="Z12" i="30" s="1"/>
  <c r="R19" i="30"/>
  <c r="Y19" i="30"/>
  <c r="Z19" i="30" s="1"/>
  <c r="Y15" i="30"/>
  <c r="Z15" i="30" s="1"/>
  <c r="R15" i="30"/>
  <c r="R11" i="30"/>
  <c r="Y11" i="30"/>
  <c r="Z11" i="30" s="1"/>
  <c r="R17" i="30"/>
  <c r="Y17" i="30"/>
  <c r="Z17" i="30" s="1"/>
  <c r="R18" i="30"/>
  <c r="Y18" i="30"/>
  <c r="Z18" i="30" s="1"/>
  <c r="R9" i="30"/>
  <c r="Y9" i="30"/>
  <c r="Z9" i="30" s="1"/>
  <c r="R10" i="30"/>
  <c r="Y10" i="30"/>
  <c r="Z10" i="30" s="1"/>
  <c r="R14" i="30"/>
  <c r="Y14" i="30"/>
  <c r="Z14" i="30" s="1"/>
  <c r="R16" i="30"/>
  <c r="Y16" i="30"/>
  <c r="Z16" i="30" s="1"/>
  <c r="O28" i="12"/>
  <c r="D6" i="25"/>
  <c r="E6" i="25" s="1"/>
  <c r="Y26" i="12"/>
  <c r="D22" i="25"/>
  <c r="D14" i="25"/>
  <c r="D17" i="25"/>
  <c r="D10" i="25"/>
  <c r="D18" i="25"/>
  <c r="D9" i="25"/>
  <c r="D15" i="25"/>
  <c r="D19" i="25"/>
  <c r="D12" i="25"/>
  <c r="D8" i="25"/>
  <c r="D7" i="25"/>
  <c r="D16" i="25"/>
  <c r="D20" i="25"/>
  <c r="D11" i="25"/>
  <c r="D13" i="25"/>
  <c r="D21" i="25"/>
  <c r="C25" i="30"/>
  <c r="Z24" i="22"/>
  <c r="AB7" i="22"/>
  <c r="V24" i="22"/>
  <c r="T26" i="22"/>
  <c r="C33" i="30" l="1"/>
  <c r="C31" i="30"/>
  <c r="T26" i="30"/>
  <c r="E7" i="25"/>
  <c r="E8" i="25" s="1"/>
  <c r="E9" i="25" s="1"/>
  <c r="E10" i="25" s="1"/>
  <c r="E11" i="25" s="1"/>
  <c r="E12" i="25" s="1"/>
  <c r="E13" i="25" s="1"/>
  <c r="E14" i="25" s="1"/>
  <c r="E15" i="25" s="1"/>
  <c r="E16" i="25" s="1"/>
  <c r="E17" i="25" s="1"/>
  <c r="E18" i="25" s="1"/>
  <c r="E19" i="25" s="1"/>
  <c r="E20" i="25" s="1"/>
  <c r="E21" i="25" s="1"/>
  <c r="T25" i="30"/>
  <c r="Z26" i="22"/>
  <c r="AB24" i="22"/>
  <c r="Y7" i="30"/>
  <c r="R25" i="30" l="1"/>
  <c r="R7" i="30"/>
  <c r="G212" i="35"/>
  <c r="C18" i="23" l="1"/>
  <c r="C21" i="23" s="1"/>
  <c r="C25" i="23" s="1"/>
  <c r="J25" i="30"/>
  <c r="Q25" i="30" s="1"/>
  <c r="Z25" i="30"/>
  <c r="Y25" i="30"/>
  <c r="Z7" i="30"/>
  <c r="L212" i="35"/>
  <c r="J31" i="30" l="1"/>
  <c r="R2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Windows-användare</author>
  </authors>
  <commentList>
    <comment ref="G29" authorId="0" shapeId="0" xr:uid="{00000000-0006-0000-0900-000001000000}">
      <text>
        <r>
          <rPr>
            <b/>
            <sz val="9"/>
            <color indexed="81"/>
            <rFont val="Tahoma"/>
            <family val="2"/>
          </rPr>
          <t>Windows-användare:</t>
        </r>
        <r>
          <rPr>
            <sz val="9"/>
            <color indexed="81"/>
            <rFont val="Tahoma"/>
            <family val="2"/>
          </rPr>
          <t xml:space="preserve">
Skattesatsen för innevarande år behövs inte i kalkylen, men sparas för kommande år i kalkylen</t>
        </r>
      </text>
    </comment>
  </commentList>
</comments>
</file>

<file path=xl/sharedStrings.xml><?xml version="1.0" encoding="utf-8"?>
<sst xmlns="http://schemas.openxmlformats.org/spreadsheetml/2006/main" count="2860" uniqueCount="675">
  <si>
    <t>Versionshantering</t>
  </si>
  <si>
    <t>Datum</t>
  </si>
  <si>
    <t>Flik</t>
  </si>
  <si>
    <t>Notering</t>
  </si>
  <si>
    <t>Invånare</t>
  </si>
  <si>
    <t>Uppdaterat befolkningsstatistiken</t>
  </si>
  <si>
    <t>Skola data</t>
  </si>
  <si>
    <t>Uppdaterat elevantal</t>
  </si>
  <si>
    <t>Lsandelat totalt</t>
  </si>
  <si>
    <t>Uppdaterat utjämning under övergångsperiod</t>
  </si>
  <si>
    <t>Överföringar jmf</t>
  </si>
  <si>
    <t>Uppdaterad</t>
  </si>
  <si>
    <t>Skola basbelopp!</t>
  </si>
  <si>
    <t>Index estimat - 0</t>
  </si>
  <si>
    <t>Överföringar totalt</t>
  </si>
  <si>
    <t>Utskick kommuner</t>
  </si>
  <si>
    <t>Skattekompl data</t>
  </si>
  <si>
    <t>Preliminär tabell B - Skatteinkomster från förvärvsinkomstbeskattningen</t>
  </si>
  <si>
    <t>Preliminär tabell C - Skattesats, E - skattesats i medeltal. Estminat som 2019</t>
  </si>
  <si>
    <t>Preliminär tabell D - Samfundsskatter</t>
  </si>
  <si>
    <t>Uppdaterat tabell F&amp;L - Invånarantal 1 januari</t>
  </si>
  <si>
    <t>Övriga tabeller på fliken uppdaterade som följd av preliminära/nya uppgifter</t>
  </si>
  <si>
    <t>STR</t>
  </si>
  <si>
    <t>Soctjänst data</t>
  </si>
  <si>
    <t>Uppdaterat ndk för socialtjänsten, PREL uppgifter</t>
  </si>
  <si>
    <t>Uppdaterat prel skatt, förvärvsinkomst och samfund</t>
  </si>
  <si>
    <t>Lsandelar totalt</t>
  </si>
  <si>
    <t>Har justerat tabellen enligt önskemål</t>
  </si>
  <si>
    <t>Basbelopp</t>
  </si>
  <si>
    <t>Korrigerat formelfel respekltive uppdaterat samtliga basbelopp och placerat alla på samma flik (Basbelopp). Basbeloppen är fortfarande beräknade utan indexförändring.</t>
  </si>
  <si>
    <t>Uppdaterat prel skatt per 7/9, förvärvsinkomst och samfund</t>
  </si>
  <si>
    <t>Lsandelar jmf</t>
  </si>
  <si>
    <t>Uppdaterat fliken Överföringar jmf och bytt namn på den till Lsandelar jmf</t>
  </si>
  <si>
    <t>Uppdaterat index för samtliga basbelopp</t>
  </si>
  <si>
    <t>Uppdaterat ndk för socialtjänsten, publicerade uppgifter</t>
  </si>
  <si>
    <t>Uppdaterat skattesatser, ej publicerade uppgifter. OBS! De genomsnittliga skatteprocenterna är vägda med preliminär (från 29.9.2019) beskattningsbar inkomst för 2018</t>
  </si>
  <si>
    <t>Uppdaterat skatteinkomster från förvärv och samfundsskatt</t>
  </si>
  <si>
    <t>Uppdaterat kompensation för övriga skatteförändringar</t>
  </si>
  <si>
    <t>Korrrigerat formelfel i tabellkolumnen G&amp;F - Kompletteringstal</t>
  </si>
  <si>
    <t>Korrigerat formelfel, berör Saltvik, Sottunga, Sund, Vårdö och Mariehamn</t>
  </si>
  <si>
    <t>Sociala</t>
  </si>
  <si>
    <t>Lagt till en kolumn med prel sammanlagd landskapsandel då den slutliga sammanlagda landskapsandelen inte kan vara mindre än 0 euro.</t>
  </si>
  <si>
    <t>Sammanfogat kolumnerna för socialvård och socialtjänst då den slutliga sammanlagda landskapsandelen inte kan vara mindre än 0 euro</t>
  </si>
  <si>
    <t>Nya delar tillfogade (specialfritids), utökade kostnader pålagda på basbeloppen. basbelopp beräknade på bas 2018.indexerat till år 2021. Utökade LS-andelar ca 1,4 miljoner till följd av ökningen av uppgifter</t>
  </si>
  <si>
    <t>Lagförslag 1/2020-2021 | Ålands lagting (lagtinget.ax)</t>
  </si>
  <si>
    <t>KST skilt, ls-andel direkt till kst. KST beräknas på 0-100 åringar.</t>
  </si>
  <si>
    <t>barnomsorg tillhör numera bildningssektorn</t>
  </si>
  <si>
    <t xml:space="preserve">Tillfällig höjning av ls-andelar ca 1,2 miljoner </t>
  </si>
  <si>
    <t>afs2021_nr136.pdf (regeringen.ax)</t>
  </si>
  <si>
    <t>2021 November</t>
  </si>
  <si>
    <t>Prognos år 2022: Nya delar, grundvux och förberedande undervisning, redovisas skilt. Elever HT21 i version prognos november 21</t>
  </si>
  <si>
    <t>Antal elever för hela år 2022, beräknas i ca augusti 2022</t>
  </si>
  <si>
    <t>Första prognos i ca maj 2022 för LS år 2023, sedan ca augusti, ca september, oktober och slutversion november</t>
  </si>
  <si>
    <t>Nya basbelopp beräknas för LS år 2023</t>
  </si>
  <si>
    <t>2024 budgetförslag</t>
  </si>
  <si>
    <t>Landskapsandelar och komplettering av skatteinkomster</t>
  </si>
  <si>
    <t>Budget 2022</t>
  </si>
  <si>
    <t>Budget 2023</t>
  </si>
  <si>
    <t>Förslag 2024</t>
  </si>
  <si>
    <t>Skattekomplettering</t>
  </si>
  <si>
    <t>Socialvårdsområdet</t>
  </si>
  <si>
    <t>Bildningssektorn</t>
  </si>
  <si>
    <t>Kultur</t>
  </si>
  <si>
    <t>Medborgarinstitut 1)</t>
  </si>
  <si>
    <t>Samarbetsstöd 2)</t>
  </si>
  <si>
    <t>Tillfälligt likviditetsstöd</t>
  </si>
  <si>
    <t>Anläggningsstöd</t>
  </si>
  <si>
    <t>Summa</t>
  </si>
  <si>
    <t>Kompensationer</t>
  </si>
  <si>
    <t>Kompensation för övriga ändringar i kommunalbeskattningen 3)</t>
  </si>
  <si>
    <t>Kompensation för minskad samfundsskatt</t>
  </si>
  <si>
    <t xml:space="preserve">Summa </t>
  </si>
  <si>
    <t>Totalt</t>
  </si>
  <si>
    <t>Överföringar till kommunerna - sammanlagt</t>
  </si>
  <si>
    <t>Prognos 2025</t>
  </si>
  <si>
    <t>Diff 25-24</t>
  </si>
  <si>
    <t>Diff</t>
  </si>
  <si>
    <t>Lsandelar Totalt (exklusive KST)</t>
  </si>
  <si>
    <t>KST</t>
  </si>
  <si>
    <t>Övrigt</t>
  </si>
  <si>
    <t>Samarbetsstöd/Likviditetsstöd</t>
  </si>
  <si>
    <t>Prel. Kompensationer för grund-avdrag</t>
  </si>
  <si>
    <t>Prel. Kompen-sationer för resekostnads-avdrag</t>
  </si>
  <si>
    <t>Prel. Sote-samfundsskatte-ersättning</t>
  </si>
  <si>
    <t>Slutreglering för år 2023 reskostnadsavdrag</t>
  </si>
  <si>
    <t>Slutreglering för år 2023 grundavdrag</t>
  </si>
  <si>
    <t>Sammanlagt (utan komp, utan kst)</t>
  </si>
  <si>
    <t>Sammanlagt (med komp, utan kst)</t>
  </si>
  <si>
    <t>TOT</t>
  </si>
  <si>
    <t>Ersättning euro/invånare</t>
  </si>
  <si>
    <t>Totalt (med komp utan kst</t>
  </si>
  <si>
    <t>Totalt (utan kst)</t>
  </si>
  <si>
    <t>Invånare (1.1.2024)</t>
  </si>
  <si>
    <t>Brändö</t>
  </si>
  <si>
    <t>Eckerö</t>
  </si>
  <si>
    <t>Finström</t>
  </si>
  <si>
    <t>Föglö</t>
  </si>
  <si>
    <t>Geta</t>
  </si>
  <si>
    <t>Hammarland</t>
  </si>
  <si>
    <t>Jomala</t>
  </si>
  <si>
    <t>Kumlinge</t>
  </si>
  <si>
    <t>Kökar</t>
  </si>
  <si>
    <t>Lemland</t>
  </si>
  <si>
    <t>Lumparland</t>
  </si>
  <si>
    <t>Saltvik</t>
  </si>
  <si>
    <t>Sottunga</t>
  </si>
  <si>
    <t>Sund</t>
  </si>
  <si>
    <t>Vårdö</t>
  </si>
  <si>
    <t>Mariehamn</t>
  </si>
  <si>
    <t>Åland</t>
  </si>
  <si>
    <t>enligt skild finansieringsmodell, till mh, ej klar siffra</t>
  </si>
  <si>
    <t>***</t>
  </si>
  <si>
    <t>Prognos 25</t>
  </si>
  <si>
    <t>Slutreglering 2023</t>
  </si>
  <si>
    <t>Kontroller</t>
  </si>
  <si>
    <t>Preliminer slutreglering för år 2023 samfundskatt</t>
  </si>
  <si>
    <t>Sammanställning av landskapsandelarna</t>
  </si>
  <si>
    <t/>
  </si>
  <si>
    <t>Skattekomp-lettering</t>
  </si>
  <si>
    <t>Grundskola</t>
  </si>
  <si>
    <t>Barnomsorg</t>
  </si>
  <si>
    <t>Grundvux, förberedande undervisning</t>
  </si>
  <si>
    <t>Specialfritids</t>
  </si>
  <si>
    <t>Socialvård     (äldreomsorg)</t>
  </si>
  <si>
    <t>Socialtjänst (till KST)</t>
  </si>
  <si>
    <t>Eur/inv</t>
  </si>
  <si>
    <t>Invånare (1.1.2023)</t>
  </si>
  <si>
    <t>Invånare 6-15</t>
  </si>
  <si>
    <t>Diff mot 24</t>
  </si>
  <si>
    <t>diff</t>
  </si>
  <si>
    <t>Invånare (1.1.2022)</t>
  </si>
  <si>
    <t>2022 prognos</t>
  </si>
  <si>
    <t>(Rad 2-185 dolda, äldre uppgifter, prognos för 2024 år)</t>
  </si>
  <si>
    <t>Prognos för år 2024</t>
  </si>
  <si>
    <t xml:space="preserve">Kompensationer: Prognos komp grundavdrag o resekostnadsavdrag uppdateras hösten samt vintern 23, Slutregleras 2025-2026. Prognos komp samfskatt uppdateras våren 2024. </t>
  </si>
  <si>
    <t xml:space="preserve"> Volymen som utbetalas för komp grundavdrag o resekostnadsavdrag år 2024 ger ett förskott som sen slutregleras när beskattningen 2024 är klar. </t>
  </si>
  <si>
    <t>Kompensationer för grundavdrag</t>
  </si>
  <si>
    <t>Kompensationer för resekostnadsavdrag</t>
  </si>
  <si>
    <t>Kompensation för minskade samfundsskatteintäkter</t>
  </si>
  <si>
    <t>Sammanlagt</t>
  </si>
  <si>
    <t>Prognos 24</t>
  </si>
  <si>
    <t>LF</t>
  </si>
  <si>
    <t>avdragen</t>
  </si>
  <si>
    <t>X.000.000 euro avser förskott för skatteår 2023 på en kompensation om XX procent av bortfall av kommunalskatt till följd av grundavdraget och resekostnadsavdraget. Landskapsregeringen avlämnar ett lagförslag om kompensationen.</t>
  </si>
  <si>
    <t>avdrag</t>
  </si>
  <si>
    <t>Lagförslag 11/2022-2023 | Ålands lagting (lagtinget.ax)</t>
  </si>
  <si>
    <t>samf</t>
  </si>
  <si>
    <t>Lagförslag 5/2022-2023 | Ålands lagting (lagtinget.ax)</t>
  </si>
  <si>
    <t>Data</t>
  </si>
  <si>
    <t>Kompensations-belopp:</t>
  </si>
  <si>
    <t>7.8.9 - Grundavdrag, Åland (2021)</t>
  </si>
  <si>
    <t>Skattesats 2023</t>
  </si>
  <si>
    <t>Skatte-inkomstborfall, grundavdrag</t>
  </si>
  <si>
    <t>Andel av inkomstbortfall</t>
  </si>
  <si>
    <t>Cirka fördelning per kommun år 2023, euro</t>
  </si>
  <si>
    <t>7.8.2 - Avdrag för kostnader för resor mellan bostaden och arbetsplatsen, Åland (2021)</t>
  </si>
  <si>
    <t>Skatteinkomstborfall, reseavdrag</t>
  </si>
  <si>
    <t>Kompensation till kommunerna för sänkta samfundsskatteintäkter - skatteår 2023</t>
  </si>
  <si>
    <t>1)</t>
  </si>
  <si>
    <t>ÅD:s beslut om förskott på skatteavräkning för skatteår 2023</t>
  </si>
  <si>
    <t>Enligt uppgifter från Finansministeriet 22.9.2023 har följande uppgifter om statskatterna legat till grund för ÅD:s beslut om förskottsbeloppet:</t>
  </si>
  <si>
    <t>Skatt för förvärvsinkomst</t>
  </si>
  <si>
    <t>Kapitalskatt</t>
  </si>
  <si>
    <t>Samfundsskatt (statens andel)</t>
  </si>
  <si>
    <t>Källskatt (landskapets andel)</t>
  </si>
  <si>
    <t>Tonnageskatt</t>
  </si>
  <si>
    <t>Lotteriskatt</t>
  </si>
  <si>
    <t>2)</t>
  </si>
  <si>
    <t>Skatter sammanlagt</t>
  </si>
  <si>
    <t>3)</t>
  </si>
  <si>
    <t>ÅD:s beslut om förskott - andel av skatter sammanlagt</t>
  </si>
  <si>
    <t>4)</t>
  </si>
  <si>
    <t>Kalkylerat belopp av samfundsskatt som ingår i beslutet om förskott på skatteavräkningen</t>
  </si>
  <si>
    <t>5)</t>
  </si>
  <si>
    <t>Statens andel av samfundsskatten för skattåret 2023 är</t>
  </si>
  <si>
    <t>Se 12 f § 4 p i Lag om skatteredovisning</t>
  </si>
  <si>
    <t>6)</t>
  </si>
  <si>
    <t>Andel som ska kompenseras enligt 2 § (procentenheter)</t>
  </si>
  <si>
    <t>LL (2023:5) om kompensation till kommunerna för sänkta samfundsskatteintäkter</t>
  </si>
  <si>
    <t>7)</t>
  </si>
  <si>
    <t>Kompensationsbelopp som motsvarar 11,25 procentenheter av den samfundsskatt som ingår i skatteavräkningen</t>
  </si>
  <si>
    <t>euro</t>
  </si>
  <si>
    <t>8)</t>
  </si>
  <si>
    <t>Kompensationsbeloppet fördelas mellan kommunerna enligt fördelningsnyckeln för samfundsskatt för respektive skatteår</t>
  </si>
  <si>
    <t>Under skatteåret betalas kompensationen till kommunerna månatligen i förskott</t>
  </si>
  <si>
    <t>se längre ned /Rlö 0611</t>
  </si>
  <si>
    <t>Kompensation till kommunerna för sänkta samfundsskatteintäkter - skatteår 2024</t>
  </si>
  <si>
    <t>prognos</t>
  </si>
  <si>
    <t>5) statens utdelning skatteåret 2024 är 76,31 procent och kommunernas utdelning 23,69 procent,</t>
  </si>
  <si>
    <t>6) statens utdelning skatteåret 2025 är 76,31 procent och kommunernas utdelning 23,69 procent,</t>
  </si>
  <si>
    <t>7) statens utdelning skatteåret 2026 är 77,08 procent och kommunernas utdelning 22,92 procent,</t>
  </si>
  <si>
    <t>8) statens utdelning skatteåret 2027 är 76,94 procent och kommunernas utdelning 23,06 procent,</t>
  </si>
  <si>
    <t>9) statens utdelning skatteåret 2028 är 76,77 procent och kommunernas utdelning 23,23 procent,</t>
  </si>
  <si>
    <t>10) statens utdelning skatteåret 2029 är 76,73 procent och kommunernas utdelning 23,27 procent.</t>
  </si>
  <si>
    <t>Prognos för år 2025</t>
  </si>
  <si>
    <t>Cirka fördelning per kommun år 2025, euro</t>
  </si>
  <si>
    <t>(Rad 275-317 dolda, äldre uppgifter, RLÖ 2023)</t>
  </si>
  <si>
    <t>(Rad 321-369 dolda, äldre uppgifter, RLÖ 2023)</t>
  </si>
  <si>
    <t>Kompensation till kommunerna för sänkta samfundsskatteintäkter - skatteår 2025</t>
  </si>
  <si>
    <t>ÅD:s beslut om förskott på skatteavräkning för skatteår 2025</t>
  </si>
  <si>
    <t>Enligt uppgifter från Finansministeriet 23.8.2024 har följande uppgifter om statskatterna legat till grund för ÅD:s beslut om förskottsbeloppet:</t>
  </si>
  <si>
    <t>5) statens utdelning skatteåret 2025 är 76,31 procent och kommunernas utdelning 23,69 procent,</t>
  </si>
  <si>
    <t>Statens andel av samfundsskatten för skattåret 2025 är</t>
  </si>
  <si>
    <t>Beslutat september 2024</t>
  </si>
  <si>
    <t>Hela Åland</t>
  </si>
  <si>
    <t>Grund för förskott</t>
  </si>
  <si>
    <t>Slutreglering</t>
  </si>
  <si>
    <t>Samfundsskattenyckeln beslutad enligt ÅLR 2023/2829</t>
  </si>
  <si>
    <t>Se teams för filer samfundsskatt allmänna byråns Allmänjuridik.</t>
  </si>
  <si>
    <t>Kompensationsbelopp att fördela enligt samfundskattefördelningsnyckeln</t>
  </si>
  <si>
    <t>Beräkning</t>
  </si>
  <si>
    <t>Fördelningsnyckel 2023</t>
  </si>
  <si>
    <t xml:space="preserve">Fördelningsbelopp </t>
  </si>
  <si>
    <t>Avrundad 8 decimaler</t>
  </si>
  <si>
    <t>Euro</t>
  </si>
  <si>
    <t>Överföringar till kommunerna</t>
  </si>
  <si>
    <t>Landskapsandelar</t>
  </si>
  <si>
    <t>2025</t>
  </si>
  <si>
    <t>Bildningssektorn (grk+baom+str+spcfr+förb+grvx)</t>
  </si>
  <si>
    <t>Socialvård (äldreomsorg+kst)</t>
  </si>
  <si>
    <t>Kompensationer o stöd</t>
  </si>
  <si>
    <t>2024</t>
  </si>
  <si>
    <t xml:space="preserve">Förskott 2024 </t>
  </si>
  <si>
    <t>Kompensation av grundavdrag+rese</t>
  </si>
  <si>
    <t>Kompensation för utebliven samfskatt</t>
  </si>
  <si>
    <t>Samarbetsstöd</t>
  </si>
  <si>
    <t>Likviditetsstöd</t>
  </si>
  <si>
    <t>Basbeloppsuppföljning</t>
  </si>
  <si>
    <t>ndk</t>
  </si>
  <si>
    <t>ls</t>
  </si>
  <si>
    <t>skatteintäkter</t>
  </si>
  <si>
    <t>Ls/ndk</t>
  </si>
  <si>
    <t>LR kostnader</t>
  </si>
  <si>
    <t>tbd</t>
  </si>
  <si>
    <t>Egenandelar kommunvis</t>
  </si>
  <si>
    <t>övrigt</t>
  </si>
  <si>
    <t>Olika tabeller</t>
  </si>
  <si>
    <t>Landskapsandel  (€)</t>
  </si>
  <si>
    <t>Landskapsandel (€) /invånare</t>
  </si>
  <si>
    <t>Landskapsandel</t>
  </si>
  <si>
    <t>Kumulativ</t>
  </si>
  <si>
    <t>Ndk/inv</t>
  </si>
  <si>
    <t>Skatt/inv</t>
  </si>
  <si>
    <t>Andel invånare</t>
  </si>
  <si>
    <t>Andel ndk (2019)</t>
  </si>
  <si>
    <t>Andel skatter (2020)</t>
  </si>
  <si>
    <t>Ndk (1000 tals euro)</t>
  </si>
  <si>
    <t>(totala ndk 2019)</t>
  </si>
  <si>
    <t>Sammanställning av landskapsandelar och kompensationer</t>
  </si>
  <si>
    <t xml:space="preserve">LANDSKAPSANDELAR </t>
  </si>
  <si>
    <t>Skattekomp-lettering 2020</t>
  </si>
  <si>
    <t>Skattekomp-lettering 2019</t>
  </si>
  <si>
    <t>%-förändring 2019-2020</t>
  </si>
  <si>
    <t>Grundskola 2020</t>
  </si>
  <si>
    <t>Grundskola  2019</t>
  </si>
  <si>
    <t>STR 2020</t>
  </si>
  <si>
    <t>STR 2019</t>
  </si>
  <si>
    <t>Socialvård 2020</t>
  </si>
  <si>
    <t>Socialvård &amp; Socialtjänst 2019</t>
  </si>
  <si>
    <t>Kultur 2020</t>
  </si>
  <si>
    <t>Kultur 2019</t>
  </si>
  <si>
    <t>Medis 2020</t>
  </si>
  <si>
    <t>Medis 2019</t>
  </si>
  <si>
    <t>Landskaps-andelar Summa 2020</t>
  </si>
  <si>
    <t>Summa 2019</t>
  </si>
  <si>
    <t>Utjämning under övergångsperiod 2020</t>
  </si>
  <si>
    <t>Utjämning under övergångsperiod 2019</t>
  </si>
  <si>
    <t>Landskaps-andelar Totalt 2020</t>
  </si>
  <si>
    <t>Landskaps-andelar Totalt 2019</t>
  </si>
  <si>
    <t>Samarbetsstöd/Ofördelat</t>
  </si>
  <si>
    <t>Förändring €</t>
  </si>
  <si>
    <t>Utjämning under övergångsperiod</t>
  </si>
  <si>
    <t>§ 52</t>
  </si>
  <si>
    <t>Koefficient</t>
  </si>
  <si>
    <t>Koefficienten gör att övergångssystemet utjämnar skillnaden mellan landskapsandelssystemen utan att ta hänsyn tillbesparingen</t>
  </si>
  <si>
    <t>Övergång</t>
  </si>
  <si>
    <t>Lsandel 2017</t>
  </si>
  <si>
    <t>Totalbelopp 2018*</t>
  </si>
  <si>
    <t>Skillnad</t>
  </si>
  <si>
    <t>*enligt LL (2018:102) om ändring av 17 § landskapslagen om landskapsandelar till kommunerna</t>
  </si>
  <si>
    <t>Förändring</t>
  </si>
  <si>
    <t>Beslut 2018-01-10</t>
  </si>
  <si>
    <t>LANDSKAPSANDELAR, KOMPENSATIONER OCH JUSTERING 2017</t>
  </si>
  <si>
    <t>Kommun</t>
  </si>
  <si>
    <t>Socialvård</t>
  </si>
  <si>
    <t>Medborgar-</t>
  </si>
  <si>
    <t>Bibliotek</t>
  </si>
  <si>
    <t>Idr.-, ungd.-</t>
  </si>
  <si>
    <t>SAMMAN-</t>
  </si>
  <si>
    <t>Allm.ls-andel</t>
  </si>
  <si>
    <t>Komplett-</t>
  </si>
  <si>
    <t>Särskilt o</t>
  </si>
  <si>
    <t xml:space="preserve">Komp. för </t>
  </si>
  <si>
    <t>Kompensa-</t>
  </si>
  <si>
    <t>Justering</t>
  </si>
  <si>
    <t>institut</t>
  </si>
  <si>
    <t>o. kulturv.</t>
  </si>
  <si>
    <t>LAGT</t>
  </si>
  <si>
    <t>(inkl.bef.min).</t>
  </si>
  <si>
    <t>ering</t>
  </si>
  <si>
    <t>sammanslagn.</t>
  </si>
  <si>
    <t>utebliven</t>
  </si>
  <si>
    <t xml:space="preserve">tion för </t>
  </si>
  <si>
    <t>av över-</t>
  </si>
  <si>
    <t>uppgiftsbas.</t>
  </si>
  <si>
    <t>av skatte-</t>
  </si>
  <si>
    <t>stöd</t>
  </si>
  <si>
    <t>övr. ls-</t>
  </si>
  <si>
    <t>kap.ink.skatt</t>
  </si>
  <si>
    <t>sjukkostn.avdr.</t>
  </si>
  <si>
    <t>kompensa-</t>
  </si>
  <si>
    <t>överföringar</t>
  </si>
  <si>
    <t>föringarna</t>
  </si>
  <si>
    <t>ls-andelar</t>
  </si>
  <si>
    <t>inkomster</t>
  </si>
  <si>
    <t>(tidigare enl</t>
  </si>
  <si>
    <t>andelar</t>
  </si>
  <si>
    <t>tioner</t>
  </si>
  <si>
    <t>Netto efter</t>
  </si>
  <si>
    <t>prövning)</t>
  </si>
  <si>
    <t>justering</t>
  </si>
  <si>
    <t>skatteår 2016</t>
  </si>
  <si>
    <t>0</t>
  </si>
  <si>
    <t>Ofördelat kommuner</t>
  </si>
  <si>
    <t>SUMMA</t>
  </si>
  <si>
    <t>Komplettering av skatteinkomsterna</t>
  </si>
  <si>
    <t>20-25 §</t>
  </si>
  <si>
    <t>Kompletterings-belopp</t>
  </si>
  <si>
    <t>Kompletteringstal=kommunens skattekraft i medeltal under perioden</t>
  </si>
  <si>
    <t>Kompletteringsgräns=kommunernas sammanlagda skattekraft i medeltal</t>
  </si>
  <si>
    <t>B - Skatteinkomster från förvärvsinkomstbeskattningen</t>
  </si>
  <si>
    <t>Skatteförvaltningen N181. Uppdaterad:</t>
  </si>
  <si>
    <t>C - Skattesats, E - skattesats i medeltal</t>
  </si>
  <si>
    <t>Skatte%</t>
  </si>
  <si>
    <t>Åsub. Uppdaterad:</t>
  </si>
  <si>
    <t>prognos medel</t>
  </si>
  <si>
    <t>D - Samfundsskatter</t>
  </si>
  <si>
    <t>Kompensation för samfundsskatteintäkter storlek</t>
  </si>
  <si>
    <t>Samfundsskatter, totalt</t>
  </si>
  <si>
    <t>F&amp;L - Invånarantal 1 januari</t>
  </si>
  <si>
    <t>Befolkning</t>
  </si>
  <si>
    <t>2022</t>
  </si>
  <si>
    <t>A&amp;I - Skattekraft</t>
  </si>
  <si>
    <t>G&amp;F - Kompletteringstal</t>
  </si>
  <si>
    <t>Ålands skattekraft</t>
  </si>
  <si>
    <t>J - Uppräkningsfaktor</t>
  </si>
  <si>
    <t>Uppräkningsfaktor</t>
  </si>
  <si>
    <t>H - Kompletteringsgräns</t>
  </si>
  <si>
    <t>Kompletteringsgräns</t>
  </si>
  <si>
    <t>K&amp;N - Kommunens kompletteringsbelopp</t>
  </si>
  <si>
    <t>Kompl.gräns-Kompl.tal</t>
  </si>
  <si>
    <t>Skattesats 2025</t>
  </si>
  <si>
    <t>Invånare 2024 (1.1)</t>
  </si>
  <si>
    <t>M - Kompletteringsandel</t>
  </si>
  <si>
    <t>Kompletteringsandel</t>
  </si>
  <si>
    <t>Kontroll - Jämförelse med annan uppräkningsfaktor</t>
  </si>
  <si>
    <t>Skattesats</t>
  </si>
  <si>
    <t>DATA</t>
  </si>
  <si>
    <t>Landskapsandelar för grundskola</t>
  </si>
  <si>
    <t>Landskapsandel för träningsundervisningen</t>
  </si>
  <si>
    <t>Landskapsandelar för socialvården och socialtjänsten</t>
  </si>
  <si>
    <t xml:space="preserve">Landskapsandelar för Kultur </t>
  </si>
  <si>
    <t>§ 18,19,50</t>
  </si>
  <si>
    <t>§ 18, 19, 50</t>
  </si>
  <si>
    <t>§ 50</t>
  </si>
  <si>
    <t>(Rad 4-59 dolda, äldre uppgifter, RLÖ juni 2023)</t>
  </si>
  <si>
    <t>Basbelopp, euro/invånare</t>
  </si>
  <si>
    <t>Basbelop, euro/invånare</t>
  </si>
  <si>
    <t>Intervall</t>
  </si>
  <si>
    <t>0-40</t>
  </si>
  <si>
    <t>41-60</t>
  </si>
  <si>
    <t>61-80</t>
  </si>
  <si>
    <t>81-100</t>
  </si>
  <si>
    <t>101-150</t>
  </si>
  <si>
    <t>151-</t>
  </si>
  <si>
    <t>Kalkyl basbelopp 2015</t>
  </si>
  <si>
    <t>Åldersgrupper</t>
  </si>
  <si>
    <t>0-6</t>
  </si>
  <si>
    <t>65-74</t>
  </si>
  <si>
    <t>75-84</t>
  </si>
  <si>
    <t>85+</t>
  </si>
  <si>
    <t>7-64</t>
  </si>
  <si>
    <t>Grundskola ndk 2015</t>
  </si>
  <si>
    <t>50§</t>
  </si>
  <si>
    <t>Fördelning</t>
  </si>
  <si>
    <t>Antal invånare 6-15, 1.1 2015</t>
  </si>
  <si>
    <t>Enligt mejl från Åsub 13.9.2017 15:23:09</t>
  </si>
  <si>
    <t>Basbelopp grundskola 2015</t>
  </si>
  <si>
    <t>STR kostnader enligt bokslut 2015</t>
  </si>
  <si>
    <t>Antal elever STR medeltal 2015</t>
  </si>
  <si>
    <t>Indexförändring 2016</t>
  </si>
  <si>
    <t>Formel: Grundskolans ndk - STR bokslut</t>
  </si>
  <si>
    <t>Basbelopp STR 2015</t>
  </si>
  <si>
    <t>Indexförändring 2017</t>
  </si>
  <si>
    <t>Indexförändring 2018</t>
  </si>
  <si>
    <t>BSI 2017:</t>
  </si>
  <si>
    <t>BSI 2018:</t>
  </si>
  <si>
    <t>Basår 2018 var år 2000</t>
  </si>
  <si>
    <t>Indexförändring 2019</t>
  </si>
  <si>
    <t>BSI 2019:</t>
  </si>
  <si>
    <t>*År 2019 ändrar basåret till 2015</t>
  </si>
  <si>
    <t>Medis till höger&gt;&gt;&gt;&gt;&gt;&gt;&gt;&gt;&gt;&gt;&gt;&gt;&gt;&gt;&gt;&gt;&gt;&gt;&gt;&gt;&gt;</t>
  </si>
  <si>
    <t xml:space="preserve">Åsub prisidex för basservice </t>
  </si>
  <si>
    <t>(reviderat 16.9 pga statistikcentralens uppdatering)</t>
  </si>
  <si>
    <t>År 2022 års landskapsandelar baserar sig på 2018 års kostnader, uppindexerat till år 2022</t>
  </si>
  <si>
    <t>Landskapsandelar beräkning, grundskola</t>
  </si>
  <si>
    <t>Kalkyl basbelopp 2018</t>
  </si>
  <si>
    <t>LS-andelar, STR</t>
  </si>
  <si>
    <t>LS-andelar, SP.FR, FÖRB,GRVX</t>
  </si>
  <si>
    <t>Landskapsandelar, barnomsorg, socialvård och socialtjänst(kst)</t>
  </si>
  <si>
    <t>Grundskola ndk 2018</t>
  </si>
  <si>
    <t>Barnomsorg (tillhör bildning)</t>
  </si>
  <si>
    <t>Socialvård (Äldreomsorg)</t>
  </si>
  <si>
    <t>Socialtjänst (kst)</t>
  </si>
  <si>
    <t>Ndk-STR</t>
  </si>
  <si>
    <t>STR kostnader enligt bokslut 2018</t>
  </si>
  <si>
    <t>Basbelopp 2021</t>
  </si>
  <si>
    <t>0-100+</t>
  </si>
  <si>
    <t>Antal invånare 6-15, 1.1 2018</t>
  </si>
  <si>
    <t>Antal elever STR medeltal 2018</t>
  </si>
  <si>
    <t>Ndk 2018</t>
  </si>
  <si>
    <t>Basbelopp grundskola 2018</t>
  </si>
  <si>
    <t>Basbelopp STR 2018</t>
  </si>
  <si>
    <t>Specialfritids 2018</t>
  </si>
  <si>
    <t>Barnomsorg (0-6)</t>
  </si>
  <si>
    <t xml:space="preserve">*Antal </t>
  </si>
  <si>
    <t>Socialvård(äldreomsorg)</t>
  </si>
  <si>
    <t>(kostnad för kollektivtrafik EJ borttagen trots kostnadsansvar övertagits, se budget 2022)</t>
  </si>
  <si>
    <t>**Basbelopp</t>
  </si>
  <si>
    <t>Förberedande undervisning</t>
  </si>
  <si>
    <t>Index</t>
  </si>
  <si>
    <t>*Antal</t>
  </si>
  <si>
    <t>index</t>
  </si>
  <si>
    <t>Inv 1.1.2018 i 0-6</t>
  </si>
  <si>
    <t>Grundvux</t>
  </si>
  <si>
    <t>Inv 1.1.2018 i 0-100+</t>
  </si>
  <si>
    <t>Inv 1.1.2018 i 65+</t>
  </si>
  <si>
    <t>Fördelas enligt andel klienter i respektive åldersgrupp</t>
  </si>
  <si>
    <t>Utökade uppgifter, extra kostnad för 2021</t>
  </si>
  <si>
    <t>Indexförändring 2020</t>
  </si>
  <si>
    <t>BSI 2020:</t>
  </si>
  <si>
    <t>Elevhandledning</t>
  </si>
  <si>
    <t>BB, specialfritids</t>
  </si>
  <si>
    <t>(indexerat)</t>
  </si>
  <si>
    <t>Antal invånare 6-15, 1.1 2020</t>
  </si>
  <si>
    <t>BB, förberedande</t>
  </si>
  <si>
    <t>Barn och elevhälsa</t>
  </si>
  <si>
    <t>Pålägg /inv.</t>
  </si>
  <si>
    <t>BB, grundvux</t>
  </si>
  <si>
    <t>Tillfällig barnomsorg</t>
  </si>
  <si>
    <t>Inv 1.1.2020 i 0-6</t>
  </si>
  <si>
    <t>Indexförändring 2021</t>
  </si>
  <si>
    <t>BSI 2021:</t>
  </si>
  <si>
    <t>Prisindex för den kommunala basservicen på Åland (asub.ax)</t>
  </si>
  <si>
    <t>(kostnad för kollektivtrafik EJ borttagen från basbelopp trots kostnadsansvar övertagits, se budget 2022)</t>
  </si>
  <si>
    <t>Förstärkt basservice (4 år)</t>
  </si>
  <si>
    <t>Social rehabilitering</t>
  </si>
  <si>
    <t>Ej gällande för 2023 och framåt</t>
  </si>
  <si>
    <t>Inv 1.1.2020 i 0-100+</t>
  </si>
  <si>
    <t>(Rad 61-101 dolda, äldre uppgifter, RLÖ juni 2024)</t>
  </si>
  <si>
    <t>Uppföljning till år 2023 års ls-andelar. Se https://www.regeringen.ax/alandsk-lagstiftning/alex/2017120</t>
  </si>
  <si>
    <t>Kultur till höger&gt;&gt;&gt;&gt;&gt;&gt;&gt;&gt;&gt;&gt;&gt;&gt;&gt;&gt;&gt;&gt;&gt;&gt;&gt;&gt;&gt;</t>
  </si>
  <si>
    <t>År 2024 års landskapsandelar baserar sig på 2021 års kostnader, uppindexerat till år 2024</t>
  </si>
  <si>
    <t>LS-andelar, Specialfritids, förberedande undervisning, grundskoleutbildning för andra än läropliktiga</t>
  </si>
  <si>
    <t>(Träningsundervisning)</t>
  </si>
  <si>
    <t>Medis</t>
  </si>
  <si>
    <t>Kalkyl basbelopp 21, ndk, inv, basbelopp</t>
  </si>
  <si>
    <t>Kalkyl basbelopp 2021</t>
  </si>
  <si>
    <t>Grundskola ndk 2021</t>
  </si>
  <si>
    <t>Socialvård (äldreomsorg)</t>
  </si>
  <si>
    <t>Ndk-STR-SPEC-Förb-Grvx</t>
  </si>
  <si>
    <t>STR kostnader enligt bokslut 2021</t>
  </si>
  <si>
    <t>Antal invånare 6-15, 1.1 2021</t>
  </si>
  <si>
    <t>Antal elever STR medeltal 2021</t>
  </si>
  <si>
    <t>Basbelopp grundskola 2021</t>
  </si>
  <si>
    <t>Basbelopp STR 2021</t>
  </si>
  <si>
    <t>Inv 1.1.2021 i 0-6</t>
  </si>
  <si>
    <t>Inv 1.1.2021 i 0-100+</t>
  </si>
  <si>
    <t>Inv 1.1.2021 i 65+</t>
  </si>
  <si>
    <t>Indexförändring 2022</t>
  </si>
  <si>
    <t>BSI 2022:</t>
  </si>
  <si>
    <t>Basbelopp barnomsorg</t>
  </si>
  <si>
    <t>Basbelopp KST (socialtjänst)</t>
  </si>
  <si>
    <t>Använder prel-indexsiffror ty försenat från uppgiftslämnare. Se mail från åsub. /RLÖ 18092023</t>
  </si>
  <si>
    <t>Basbelopp Äldreomsorg</t>
  </si>
  <si>
    <t>Indexförändring 2023</t>
  </si>
  <si>
    <t>BSI 2023:</t>
  </si>
  <si>
    <t>**Basbelopp 65-74</t>
  </si>
  <si>
    <t>hämtas från separat beräkning</t>
  </si>
  <si>
    <t>**Basbelopp 75-84</t>
  </si>
  <si>
    <t>OBS kommentar index</t>
  </si>
  <si>
    <t>**Basbelopp 85+</t>
  </si>
  <si>
    <t>Ersätts genom ny finansieringsmodell, basbeloppet används ej för medis för år 2023 framåt. (Rlö juni 23)</t>
  </si>
  <si>
    <t>Basbelopp 2021 (Kostnad x2 för förb o grvux)</t>
  </si>
  <si>
    <t>Kost. Spec.frtd. 2021</t>
  </si>
  <si>
    <t>Kost. Förb und. 21</t>
  </si>
  <si>
    <t>Kost. Grundvux 21</t>
  </si>
  <si>
    <t>Fyra års uppföljning till år 2025 års ls-andelar. Se https://www.regeringen.ax/alandsk-lagstiftning/alex/2017120</t>
  </si>
  <si>
    <t>År 2025 års landskapsandelar baserar sig på 2022 års kostnader, uppindexerat till år 2025</t>
  </si>
  <si>
    <t>Kalkyl basbelopp 22, ndk, inv, basbelopp</t>
  </si>
  <si>
    <t>Kalkyl basbelopp 2022</t>
  </si>
  <si>
    <t>Grundskola ndk 2022</t>
  </si>
  <si>
    <t>STR kostnader enligt bokslut 2022</t>
  </si>
  <si>
    <t>Antal invånare 6-15, 1.1 2022</t>
  </si>
  <si>
    <t>Antal elever STR medeltal 2022</t>
  </si>
  <si>
    <t>Basbelopp grundskola 2022</t>
  </si>
  <si>
    <t>Basbelopp STR 2022</t>
  </si>
  <si>
    <t>Inv 1.1.2022 i 0-6</t>
  </si>
  <si>
    <t>Inv 1.1.2022 i 0-100+</t>
  </si>
  <si>
    <t>Inv 1.1.2022 i 65+</t>
  </si>
  <si>
    <t>Slutliga indexet kom 15e oktober. Dvs sista dagen att uppdatera basbeloppen enligt lag.  Beslut hann tas före 15e med 4,8 som index, men nya indexet ska användas ändå, dvs nya beslut ska tas. OK finansavdelningen 15.10. /RLÖ Besluten tas inom rimlignära framtid när det hinns med. Ca 1-2v.</t>
  </si>
  <si>
    <t>Indexförändring 2024</t>
  </si>
  <si>
    <t>BSI 2024:</t>
  </si>
  <si>
    <t xml:space="preserve">Basbelopp 2022 </t>
  </si>
  <si>
    <t>Kost. Spec.frtd. 2022</t>
  </si>
  <si>
    <t>Kost. Förb und. 22</t>
  </si>
  <si>
    <t>Kost. Grundvux 22</t>
  </si>
  <si>
    <t>Underlag data för basbelopp år 2022</t>
  </si>
  <si>
    <t>Invånare - grunduppgifter</t>
  </si>
  <si>
    <t>Socialvård &amp; Socialtjänst</t>
  </si>
  <si>
    <t>Hela befolkningen</t>
  </si>
  <si>
    <t>6-15 år</t>
  </si>
  <si>
    <t>2022-01-01</t>
  </si>
  <si>
    <t>såhd bokslut</t>
  </si>
  <si>
    <t>åsub databas</t>
  </si>
  <si>
    <t>kostnadsinsamling + elevantal 2022 ls-andelar slutgiltig enligt insamling</t>
  </si>
  <si>
    <t>Landskapsandelar för grundskola och träningsundervisning (STR) samt specialfritids, grvux och förb</t>
  </si>
  <si>
    <t>grvux</t>
  </si>
  <si>
    <t>förb</t>
  </si>
  <si>
    <t>Grundskola, STR &amp; Specfr</t>
  </si>
  <si>
    <t>9-10 §</t>
  </si>
  <si>
    <t>61-80*</t>
  </si>
  <si>
    <t>Landskapsandelsprocent</t>
  </si>
  <si>
    <t>Fasta Åland</t>
  </si>
  <si>
    <t xml:space="preserve">Skärgård </t>
  </si>
  <si>
    <t>Ytterskärgård</t>
  </si>
  <si>
    <t>Antal elever</t>
  </si>
  <si>
    <t>Normkostnad</t>
  </si>
  <si>
    <t>Ersättningsgrad</t>
  </si>
  <si>
    <t>Lsandel</t>
  </si>
  <si>
    <t>Grundskola lsandelar, totalt</t>
  </si>
  <si>
    <t>§ 11</t>
  </si>
  <si>
    <t>Formel: (kommunens normkostnad=basbelopp*antal STR-elever)*ersättningsgrad</t>
  </si>
  <si>
    <t>Basbelopp:</t>
  </si>
  <si>
    <t>Lsandel STR</t>
  </si>
  <si>
    <t>Kontroll</t>
  </si>
  <si>
    <t>Antal elever hösterminen 2024</t>
  </si>
  <si>
    <t>Uppdaterad:</t>
  </si>
  <si>
    <t>Uppdateras hösten 2025</t>
  </si>
  <si>
    <t>Landskapsandel för förberedande undervisning</t>
  </si>
  <si>
    <t>Formel: (kommunens normkostnad=basbelopp*antal elever)*ersättningsgrad</t>
  </si>
  <si>
    <t>Lsandel Specialfritids</t>
  </si>
  <si>
    <t>Landskapsandel för grundvux</t>
  </si>
  <si>
    <t>Landskapsandel för specialfritids</t>
  </si>
  <si>
    <t>Formel: (kommunens normkostnad=basbelopp*antal specfr-elever)*ersättningsgrad</t>
  </si>
  <si>
    <t>Landskapsandel förbarnomsorgen</t>
  </si>
  <si>
    <t>Landskapsandel för socialvården; äldreomsorg samt samordnad socialtjänst</t>
  </si>
  <si>
    <t>Prel Sociala lsandelar</t>
  </si>
  <si>
    <t>Sociala lsandelar</t>
  </si>
  <si>
    <t>Landskapsandel för barnomsorg samt socialvård(äldreomsorg)</t>
  </si>
  <si>
    <t>5 §</t>
  </si>
  <si>
    <t>Formel: Basbelopp * invånarantal i åldersgruppen * ersättningsgrad</t>
  </si>
  <si>
    <t>(Tillhör bildningssektorn)</t>
  </si>
  <si>
    <t>Äldreomsorg</t>
  </si>
  <si>
    <t>Åldersgrupp</t>
  </si>
  <si>
    <t>2025 Barnomsorg</t>
  </si>
  <si>
    <t>Skärgård</t>
  </si>
  <si>
    <t xml:space="preserve">Ytterskärgård </t>
  </si>
  <si>
    <t>Lsandel för socialvården (barn- och äldreomsorg)</t>
  </si>
  <si>
    <t>Totalt äldreomsorg</t>
  </si>
  <si>
    <t>Totalt barnomsorg</t>
  </si>
  <si>
    <t>Kalkylerade nettodriftskostnader för socialvården (barn- och äldreomsorg) till socialvårdsplanen</t>
  </si>
  <si>
    <t>Landskapsandel för den samordnade socialtjänsten (KST)</t>
  </si>
  <si>
    <t>6-7, 51 §</t>
  </si>
  <si>
    <t>Formel prel. lsandel: Basbelopp * invånarantal i åldersgruppen * ersättningsgrad</t>
  </si>
  <si>
    <t>13,2% tillfälligt 4 år, sen 12,8 till år 2025 (ser över basbelopp här)</t>
  </si>
  <si>
    <t>Hela</t>
  </si>
  <si>
    <t>Kalkylerad ndk (normkostnad)</t>
  </si>
  <si>
    <t>Andel</t>
  </si>
  <si>
    <t>Lsandel för socialtjänsten</t>
  </si>
  <si>
    <t>Lsandel slutlig</t>
  </si>
  <si>
    <t>Landskapsandelar för Kultur och Medis</t>
  </si>
  <si>
    <t>Kultur&amp;Medis</t>
  </si>
  <si>
    <t>Lsandelen för Medis ska utbetalas till huvudmannen</t>
  </si>
  <si>
    <t>12-13 §</t>
  </si>
  <si>
    <t>Formel: Basbelopp*invånarantal*ersättningsgrad</t>
  </si>
  <si>
    <t>Basbelopp Kultur</t>
  </si>
  <si>
    <t>Ersättningsgrad Kultur</t>
  </si>
  <si>
    <t>Lsandel Kultur</t>
  </si>
  <si>
    <t>Åsub</t>
  </si>
  <si>
    <t>2024 maj</t>
  </si>
  <si>
    <t>2024-01-01</t>
  </si>
  <si>
    <t>Invånare - grunduppgifter (2024 års ls-andelar)</t>
  </si>
  <si>
    <t>2023</t>
  </si>
  <si>
    <t>2023-01-01</t>
  </si>
  <si>
    <t>Ålands statistik- och utredningsbyrå</t>
  </si>
  <si>
    <t>Kommunernas befolkning efter åldersgrupper 2023 (enligt landskapsandelsberäkningarna)</t>
  </si>
  <si>
    <t>Sociala sektorn</t>
  </si>
  <si>
    <t>Grundskolan</t>
  </si>
  <si>
    <t>0-5</t>
  </si>
  <si>
    <t>6-15</t>
  </si>
  <si>
    <t>16+</t>
  </si>
  <si>
    <t>Antal</t>
  </si>
  <si>
    <t>Landskomm.</t>
  </si>
  <si>
    <t>-Landsbygden</t>
  </si>
  <si>
    <t>-Skärgården</t>
  </si>
  <si>
    <t>Procent</t>
  </si>
  <si>
    <t>Not. Tabellen innehåller de åldersindelningar som ligger till grund för beräkningen av landskapsandelarna</t>
  </si>
  <si>
    <t>för socialvård och socialtjänst repektive grundskola</t>
  </si>
  <si>
    <t>Källa: ÅSUB Befolkning, Myndigheten för digitalisering och befolkningsdata</t>
  </si>
  <si>
    <t>Senast uppdaterad 2.5.2024</t>
  </si>
  <si>
    <t>28560383/0,7609 = 37214272,30</t>
  </si>
  <si>
    <t>2024 och 2025 vägda medeltal preliminära för år 2025 års ls-andelar</t>
  </si>
  <si>
    <t>Skattesatserna är enligt ÅSUB:s publicering 19.11.2024</t>
  </si>
  <si>
    <t xml:space="preserve">Slutreglering skatteår 2023 </t>
  </si>
  <si>
    <t>Budget år 2025 LR</t>
  </si>
  <si>
    <t>Slutliga uppgift 2023 års beskattning 11.11.2024</t>
  </si>
  <si>
    <t>6.7 - Grundavdrag, Åland (2023)</t>
  </si>
  <si>
    <t>6.8 - Avdrag för kostnader för resor mellan bostaden och arbetsplatsen, Åland (2023)</t>
  </si>
  <si>
    <t>Summa, euro</t>
  </si>
  <si>
    <t>7.8.2 - Avdrag för kostnader för resor mellan bostaden och arbetsplatsen, Åland</t>
  </si>
  <si>
    <t>7.8.7 - Sjukdomskostnadsavdrag, Åland</t>
  </si>
  <si>
    <t>Neddladdning 21.6.2021</t>
  </si>
  <si>
    <t>Förskott 2023</t>
  </si>
  <si>
    <t>Slutreglering - skatteår 2023:</t>
  </si>
  <si>
    <t>Skatteår 2021:</t>
  </si>
  <si>
    <t>Kompensationsbelopp:</t>
  </si>
  <si>
    <t>6.8 Avdrag för kostnader för resor mellan bostaden och arbetsplatsen vid kommunalbeskattningen,    Åland (2023)</t>
  </si>
  <si>
    <t>Grad av inkomstborfall (70%)</t>
  </si>
  <si>
    <t>Slutreglering kompensation för reseavdrag skatteår 2023</t>
  </si>
  <si>
    <t>Cirka fördelning per kommun</t>
  </si>
  <si>
    <t>Summa alla med belopp</t>
  </si>
  <si>
    <t>Summa Åland</t>
  </si>
  <si>
    <t>Kalkylerat belopp på kommuner med ..</t>
  </si>
  <si>
    <t>Fördelar ut detta enligt samma förhållande som 2020 för Sottunga och Kumlinge</t>
  </si>
  <si>
    <t>Andel 2020</t>
  </si>
  <si>
    <t>Kökar 2020</t>
  </si>
  <si>
    <t>Sottunga 2020</t>
  </si>
  <si>
    <t>6.05 (Skatteåret 2021) Inkomster, avdrag och skatter per inkomsttagargrupp och region efter Skattår, Variabel, Region, Inkomsttagargrupp och Uppgifter. PxWeb (stat.fi)</t>
  </si>
  <si>
    <t>6.05 (Skatteåret 2021) Inkomster, avdrag och skatter per inkomsttagargrupp och region efter Skattår, Variabel, Region, Inkomsttagargrupp och Uppgifter</t>
  </si>
  <si>
    <t>2021</t>
  </si>
  <si>
    <t>..</t>
  </si>
  <si>
    <t>7.8.9 - Grundavdrag, Åland</t>
  </si>
  <si>
    <t>Skattesatser för kommunal inkomstskatt och fastighetsskatt 2022 och 2023</t>
  </si>
  <si>
    <t>Kommunalskatt,</t>
  </si>
  <si>
    <t>Fastighetsskatt, procent</t>
  </si>
  <si>
    <t>procent</t>
  </si>
  <si>
    <t>Stadigvarande bostad</t>
  </si>
  <si>
    <t>Annan bostad</t>
  </si>
  <si>
    <t>Allmän skatteprocent</t>
  </si>
  <si>
    <t>Fotnot: Uppgifterna för den genomsnittliga kommunalskattesatsen är reviderade</t>
  </si>
  <si>
    <t>Uppdaterad 21.11.2022</t>
  </si>
  <si>
    <t>Kompensations-belopp förskott 2023:</t>
  </si>
  <si>
    <t>Kompensations-belopp 2023:</t>
  </si>
  <si>
    <t>Skatteinkomstborfall reseavdrag</t>
  </si>
  <si>
    <t>6.8 Avdrag för kostnader för resor mellan bostaden och arbetsplatsen vid kommunalbeskattningen Åland (2023)</t>
  </si>
  <si>
    <t>Skatte- inkomstborfall, reseavdrag</t>
  </si>
  <si>
    <t>Skatteinkomstborfall, reseavdrag 2023 (70%) fördelning per kommun, euro</t>
  </si>
  <si>
    <t xml:space="preserve">Som förskott delas 4 miljoner ut enligt respektive kommuns kalkylerade inkomstbortfall. Vid slutregleringen </t>
  </si>
  <si>
    <t>är det sedan 70 % av inkomstbortfallet (avdraget enligt statistiken * kommunens skattesats)</t>
  </si>
  <si>
    <t>Se ÅFS nr 12/2023</t>
  </si>
  <si>
    <t>Slutreglering- skatteår 2023:</t>
  </si>
  <si>
    <t>6.7- Grundavdrag, Åland</t>
  </si>
  <si>
    <t>Skatteinkomstborfall,  grundavdrag</t>
  </si>
  <si>
    <t>Skatteinkomstborfall grundavdrag (70%)</t>
  </si>
  <si>
    <t>Skatteinkomstborfall, grundavdrag</t>
  </si>
  <si>
    <t>Skatte-inkomstborfall, grundavdrag fördelning per kommun</t>
  </si>
  <si>
    <t>6.7- Grundavdrag vid kommunalbeskattningen (ISkL 106 §) (Från och med skatteår 2023 endast Åland)</t>
  </si>
  <si>
    <t>Skatte-inkomstborfall, grundavdrag (70%) fördelning per kommun</t>
  </si>
  <si>
    <t>Slutreglering kompensation för grundavdrag skatteår 2023</t>
  </si>
  <si>
    <t>2025 prognos (december 24)</t>
  </si>
  <si>
    <t>Prognos 2025 - version december 2024</t>
  </si>
  <si>
    <t xml:space="preserve">Kompensationer: Prognos för kompensationerna för grund- och resekostnadsavdrag år 2025 ger ett förskott som sen slutregleras (år 2027) när beskattningen 2025 är klar. </t>
  </si>
  <si>
    <t xml:space="preserve">Prognosen för kompensation för minskade samfundsskatteintäkter år 2025 är 4 100 000,00, uppdateras våren 2025. Slutregleras (år 2027) när beskattningen 2025 är klar. </t>
  </si>
  <si>
    <t>Slutreglering kompensation för samfundsskatteintäkter skatteår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</si>
</sst>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_-* #,##0.00\ _€_-;\-* #,##0.00\ _€_-;_-* &quot;-&quot;??\ _€_-;_-@_-"/>
    <numFmt numFmtId="165" formatCode="_-* #,##0.00\ _k_r_-;\-* #,##0.00\ _k_r_-;_-* &quot;-&quot;??\ _k_r_-;_-@_-"/>
    <numFmt numFmtId="166" formatCode="#,##0.0"/>
    <numFmt numFmtId="167" formatCode="0.0000"/>
    <numFmt numFmtId="168" formatCode="0.0\ %"/>
    <numFmt numFmtId="169" formatCode="yyyy\-mm\-dd;@"/>
    <numFmt numFmtId="170" formatCode="_-* #,##0.0000\ _€_-;\-* #,##0.0000\ _€_-;_-* &quot;-&quot;????\ _€_-;_-@_-"/>
    <numFmt numFmtId="171" formatCode="#,##0.0000"/>
    <numFmt numFmtId="172" formatCode="0.000000"/>
    <numFmt numFmtId="173" formatCode="0.0000000"/>
    <numFmt numFmtId="174" formatCode="0.000\ %"/>
    <numFmt numFmtId="175" formatCode="0.00000\ %"/>
    <numFmt numFmtId="176" formatCode="#,##0.00000"/>
    <numFmt numFmtId="177" formatCode="#,##0.000"/>
    <numFmt numFmtId="178" formatCode="000"/>
    <numFmt numFmtId="179" formatCode="0.00000"/>
    <numFmt numFmtId="180" formatCode="0.0"/>
    <numFmt numFmtId="181" formatCode="0.00000000"/>
    <numFmt numFmtId="182" formatCode="0.000"/>
    <numFmt numFmtId="183" formatCode="#,##0\ _€"/>
  </numFmts>
  <fonts count="180">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1"/>
      <color theme="3"/>
      <name val="Arial"/>
      <family val="2"/>
    </font>
    <font>
      <sz val="12"/>
      <color rgb="FF3F3F76"/>
      <name val="Arial"/>
      <family val="2"/>
    </font>
    <font>
      <b/>
      <sz val="12"/>
      <color rgb="FFFA7D00"/>
      <name val="Arial"/>
      <family val="2"/>
    </font>
    <font>
      <b/>
      <sz val="12"/>
      <color theme="1"/>
      <name val="Arial"/>
      <family val="2"/>
    </font>
    <font>
      <sz val="18"/>
      <color theme="1"/>
      <name val="Calibri"/>
      <family val="2"/>
      <scheme val="minor"/>
    </font>
    <font>
      <sz val="9"/>
      <name val="Calibri"/>
      <family val="2"/>
      <scheme val="minor"/>
    </font>
    <font>
      <sz val="18"/>
      <color rgb="FF006100"/>
      <name val="Calibri"/>
      <family val="2"/>
      <scheme val="minor"/>
    </font>
    <font>
      <sz val="10"/>
      <name val="Arial"/>
      <family val="2"/>
    </font>
    <font>
      <sz val="10"/>
      <name val="Times New Roman"/>
      <family val="1"/>
    </font>
    <font>
      <sz val="12"/>
      <name val="Arial"/>
      <family val="2"/>
    </font>
    <font>
      <sz val="12"/>
      <color theme="1"/>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4"/>
      <color theme="1"/>
      <name val="Cambria"/>
      <family val="1"/>
      <scheme val="major"/>
    </font>
    <font>
      <b/>
      <sz val="12"/>
      <color theme="1"/>
      <name val="Cambria"/>
      <family val="1"/>
      <scheme val="major"/>
    </font>
    <font>
      <u/>
      <sz val="12"/>
      <color theme="10"/>
      <name val="Arial"/>
      <family val="2"/>
    </font>
    <font>
      <i/>
      <u/>
      <sz val="9"/>
      <color theme="10"/>
      <name val="Calibri"/>
      <family val="2"/>
      <scheme val="minor"/>
    </font>
    <font>
      <b/>
      <sz val="11"/>
      <color rgb="FFC00000"/>
      <name val="Calibri"/>
      <family val="2"/>
      <scheme val="minor"/>
    </font>
    <font>
      <i/>
      <sz val="9"/>
      <color theme="1"/>
      <name val="Calibri"/>
      <family val="2"/>
      <scheme val="minor"/>
    </font>
    <font>
      <sz val="9"/>
      <color rgb="FFC00000"/>
      <name val="Calibri"/>
      <family val="2"/>
      <scheme val="minor"/>
    </font>
    <font>
      <b/>
      <sz val="9"/>
      <name val="CG Times"/>
      <family val="1"/>
    </font>
    <font>
      <sz val="9"/>
      <name val="Arial"/>
      <family val="2"/>
    </font>
    <font>
      <sz val="9"/>
      <name val="CG Times"/>
      <family val="1"/>
    </font>
    <font>
      <b/>
      <sz val="9"/>
      <name val="Arial"/>
      <family val="2"/>
    </font>
    <font>
      <i/>
      <sz val="9"/>
      <color rgb="FF7F7F7F"/>
      <name val="Calibri"/>
      <family val="2"/>
      <scheme val="minor"/>
    </font>
    <font>
      <sz val="14"/>
      <name val="Arial"/>
      <family val="2"/>
    </font>
    <font>
      <b/>
      <sz val="8"/>
      <name val="Arial"/>
      <family val="2"/>
    </font>
    <font>
      <b/>
      <i/>
      <sz val="8"/>
      <name val="Arial"/>
      <family val="2"/>
    </font>
    <font>
      <b/>
      <sz val="10"/>
      <name val="Arial"/>
      <family val="2"/>
    </font>
    <font>
      <i/>
      <sz val="8"/>
      <name val="Arial"/>
      <family val="2"/>
    </font>
    <font>
      <b/>
      <i/>
      <sz val="8"/>
      <name val="CG Times"/>
      <family val="1"/>
    </font>
    <font>
      <b/>
      <sz val="12"/>
      <color rgb="FFC00000"/>
      <name val="Arial"/>
      <family val="2"/>
    </font>
    <font>
      <b/>
      <i/>
      <sz val="11"/>
      <color theme="1"/>
      <name val="Calibri"/>
      <family val="2"/>
      <scheme val="minor"/>
    </font>
    <font>
      <sz val="9"/>
      <color theme="1"/>
      <name val="Calibri"/>
      <family val="2"/>
      <scheme val="minor"/>
    </font>
    <font>
      <i/>
      <sz val="11"/>
      <color theme="1"/>
      <name val="Calibri"/>
      <family val="2"/>
      <scheme val="minor"/>
    </font>
    <font>
      <b/>
      <sz val="11"/>
      <color theme="5" tint="-0.249977111117893"/>
      <name val="Calibri"/>
      <family val="2"/>
      <scheme val="minor"/>
    </font>
    <font>
      <b/>
      <sz val="9"/>
      <color rgb="FF000000"/>
      <name val="Calibri"/>
      <family val="2"/>
    </font>
    <font>
      <b/>
      <sz val="9"/>
      <color theme="1"/>
      <name val="Calibri"/>
      <family val="2"/>
      <scheme val="minor"/>
    </font>
    <font>
      <b/>
      <sz val="9"/>
      <name val="Calibri"/>
      <family val="2"/>
      <scheme val="minor"/>
    </font>
    <font>
      <b/>
      <sz val="9"/>
      <color theme="0"/>
      <name val="Calibri"/>
      <family val="2"/>
      <scheme val="minor"/>
    </font>
    <font>
      <b/>
      <u/>
      <sz val="9"/>
      <color theme="0"/>
      <name val="Calibri"/>
      <family val="2"/>
      <scheme val="minor"/>
    </font>
    <font>
      <b/>
      <u/>
      <sz val="9"/>
      <color theme="1"/>
      <name val="Calibri"/>
      <family val="2"/>
      <scheme val="minor"/>
    </font>
    <font>
      <b/>
      <sz val="9"/>
      <color rgb="FFC00000"/>
      <name val="Calibri"/>
      <family val="2"/>
      <scheme val="minor"/>
    </font>
    <font>
      <b/>
      <sz val="9"/>
      <color rgb="FF000000"/>
      <name val="Calibri"/>
      <family val="2"/>
      <scheme val="minor"/>
    </font>
    <font>
      <b/>
      <sz val="9"/>
      <color theme="1"/>
      <name val="Calibri"/>
      <family val="2"/>
    </font>
    <font>
      <sz val="9"/>
      <color theme="1"/>
      <name val="Arial"/>
      <family val="2"/>
    </font>
    <font>
      <sz val="9"/>
      <color rgb="FFFF0000"/>
      <name val="Arial"/>
      <family val="2"/>
    </font>
    <font>
      <b/>
      <sz val="9"/>
      <color theme="3" tint="-0.249977111117893"/>
      <name val="Calibri"/>
      <family val="2"/>
      <scheme val="minor"/>
    </font>
    <font>
      <sz val="9"/>
      <color theme="3" tint="-0.249977111117893"/>
      <name val="Calibri"/>
      <family val="2"/>
      <scheme val="minor"/>
    </font>
    <font>
      <sz val="9"/>
      <color indexed="81"/>
      <name val="Tahoma"/>
      <family val="2"/>
    </font>
    <font>
      <b/>
      <sz val="9"/>
      <color indexed="81"/>
      <name val="Tahoma"/>
      <family val="2"/>
    </font>
    <font>
      <b/>
      <sz val="9"/>
      <color theme="3" tint="0.39997558519241921"/>
      <name val="Calibri"/>
      <family val="2"/>
      <scheme val="minor"/>
    </font>
    <font>
      <sz val="9"/>
      <color theme="3" tint="0.39997558519241921"/>
      <name val="Calibri"/>
      <family val="2"/>
      <scheme val="minor"/>
    </font>
    <font>
      <sz val="10"/>
      <color theme="1"/>
      <name val="Calibri"/>
      <family val="2"/>
      <scheme val="minor"/>
    </font>
    <font>
      <i/>
      <sz val="11"/>
      <name val="Calibri"/>
      <family val="2"/>
      <scheme val="minor"/>
    </font>
    <font>
      <i/>
      <u/>
      <sz val="9"/>
      <color theme="0" tint="-0.249977111117893"/>
      <name val="Calibri"/>
      <family val="2"/>
      <scheme val="minor"/>
    </font>
    <font>
      <i/>
      <sz val="12"/>
      <color rgb="FFC00000"/>
      <name val="Arial"/>
      <family val="2"/>
    </font>
    <font>
      <b/>
      <sz val="9"/>
      <color theme="9" tint="0.39997558519241921"/>
      <name val="Calibri"/>
      <family val="2"/>
      <scheme val="minor"/>
    </font>
    <font>
      <sz val="9"/>
      <color theme="9" tint="0.39997558519241921"/>
      <name val="Calibri"/>
      <family val="2"/>
      <scheme val="minor"/>
    </font>
    <font>
      <sz val="11"/>
      <name val="Calibri"/>
      <family val="2"/>
      <scheme val="minor"/>
    </font>
    <font>
      <u/>
      <sz val="10"/>
      <color theme="10"/>
      <name val="Calibri"/>
      <family val="2"/>
      <scheme val="minor"/>
    </font>
    <font>
      <sz val="9"/>
      <color rgb="FFFF0000"/>
      <name val="Calibri"/>
      <family val="2"/>
      <scheme val="minor"/>
    </font>
    <font>
      <sz val="10"/>
      <name val="CG Times (W1)"/>
    </font>
    <font>
      <sz val="12"/>
      <color rgb="FFFF0000"/>
      <name val="Arial"/>
      <family val="2"/>
    </font>
    <font>
      <b/>
      <u/>
      <sz val="9"/>
      <name val="Calibri"/>
      <family val="2"/>
      <scheme val="minor"/>
    </font>
    <font>
      <u/>
      <sz val="11"/>
      <color theme="1"/>
      <name val="Calibri"/>
      <family val="2"/>
      <scheme val="minor"/>
    </font>
    <font>
      <i/>
      <sz val="12"/>
      <color theme="1"/>
      <name val="Arial"/>
      <family val="2"/>
    </font>
    <font>
      <i/>
      <sz val="11"/>
      <color theme="1"/>
      <name val="Arial"/>
      <family val="2"/>
    </font>
    <font>
      <sz val="10"/>
      <color rgb="FFFF0000"/>
      <name val="Arial"/>
      <family val="2"/>
    </font>
    <font>
      <i/>
      <sz val="10"/>
      <color theme="1"/>
      <name val="Arial"/>
      <family val="2"/>
    </font>
    <font>
      <sz val="12"/>
      <color rgb="FF000000"/>
      <name val="Arial"/>
      <family val="2"/>
    </font>
    <font>
      <b/>
      <sz val="12"/>
      <color rgb="FFC00000"/>
      <name val="Calibri"/>
      <family val="2"/>
      <scheme val="minor"/>
    </font>
    <font>
      <u/>
      <sz val="11"/>
      <color theme="10"/>
      <name val="Calibri"/>
      <family val="2"/>
      <scheme val="minor"/>
    </font>
    <font>
      <sz val="11"/>
      <name val="Arial"/>
      <family val="2"/>
    </font>
    <font>
      <b/>
      <sz val="11"/>
      <name val="Arial"/>
      <family val="2"/>
    </font>
    <font>
      <b/>
      <sz val="11"/>
      <color theme="1"/>
      <name val="Arial"/>
      <family val="2"/>
    </font>
    <font>
      <sz val="8"/>
      <color rgb="FFFF0000"/>
      <name val="Arial"/>
      <family val="2"/>
    </font>
    <font>
      <u/>
      <sz val="12"/>
      <color theme="1"/>
      <name val="Arial"/>
      <family val="2"/>
    </font>
    <font>
      <b/>
      <u/>
      <sz val="12"/>
      <color theme="1"/>
      <name val="Arial"/>
      <family val="2"/>
    </font>
    <font>
      <u/>
      <sz val="9"/>
      <color theme="1"/>
      <name val="Arial"/>
      <family val="2"/>
    </font>
    <font>
      <sz val="8"/>
      <name val="Arial"/>
      <family val="2"/>
    </font>
    <font>
      <b/>
      <i/>
      <sz val="10"/>
      <color theme="1"/>
      <name val="Calibri"/>
      <family val="2"/>
      <scheme val="minor"/>
    </font>
    <font>
      <i/>
      <sz val="11"/>
      <color theme="5"/>
      <name val="Calibri"/>
      <family val="2"/>
      <scheme val="minor"/>
    </font>
    <font>
      <sz val="12"/>
      <color theme="5"/>
      <name val="Arial"/>
      <family val="2"/>
    </font>
    <font>
      <i/>
      <sz val="10"/>
      <name val="Arial"/>
      <family val="2"/>
    </font>
    <font>
      <i/>
      <sz val="12"/>
      <color rgb="FFFF0000"/>
      <name val="Arial"/>
      <family val="2"/>
    </font>
    <font>
      <i/>
      <sz val="11"/>
      <color rgb="FFFF0000"/>
      <name val="Calibri"/>
      <family val="2"/>
      <scheme val="minor"/>
    </font>
    <font>
      <u/>
      <sz val="9"/>
      <color theme="1"/>
      <name val="Calibri"/>
      <family val="2"/>
      <scheme val="minor"/>
    </font>
    <font>
      <b/>
      <sz val="18"/>
      <color theme="1"/>
      <name val="Arial"/>
      <family val="2"/>
    </font>
    <font>
      <b/>
      <sz val="10"/>
      <color theme="1"/>
      <name val="Calibri"/>
      <family val="2"/>
      <scheme val="minor"/>
    </font>
    <font>
      <sz val="9"/>
      <name val="Arial Narrow"/>
      <family val="2"/>
    </font>
    <font>
      <sz val="9"/>
      <color indexed="8"/>
      <name val="Arial Narrow"/>
      <family val="2"/>
    </font>
    <font>
      <b/>
      <sz val="12"/>
      <name val="Calibri"/>
      <family val="2"/>
      <scheme val="minor"/>
    </font>
    <font>
      <sz val="8"/>
      <color theme="1"/>
      <name val="Calibri"/>
      <family val="2"/>
      <scheme val="minor"/>
    </font>
    <font>
      <sz val="8"/>
      <name val="Calibri"/>
      <family val="2"/>
      <scheme val="minor"/>
    </font>
    <font>
      <sz val="9"/>
      <color rgb="FF000000"/>
      <name val="Calibri"/>
      <family val="2"/>
    </font>
    <font>
      <sz val="18"/>
      <color theme="3"/>
      <name val="Cambria"/>
      <family val="2"/>
      <scheme val="major"/>
    </font>
    <font>
      <b/>
      <sz val="11"/>
      <color theme="3"/>
      <name val="Calibri"/>
      <family val="2"/>
      <scheme val="minor"/>
    </font>
    <font>
      <b/>
      <sz val="18"/>
      <color theme="3"/>
      <name val="Cambria"/>
      <family val="2"/>
      <scheme val="major"/>
    </font>
    <font>
      <sz val="7"/>
      <color rgb="FF222222"/>
      <name val="Inherit"/>
    </font>
    <font>
      <b/>
      <sz val="7"/>
      <color rgb="FF222222"/>
      <name val="Inherit"/>
    </font>
    <font>
      <sz val="12.1"/>
      <color rgb="FF000000"/>
      <name val="Inherit"/>
    </font>
    <font>
      <sz val="12.1"/>
      <color rgb="FFFF0000"/>
      <name val="Inherit"/>
    </font>
    <font>
      <i/>
      <sz val="10"/>
      <color rgb="FFFF0000"/>
      <name val="Arial"/>
      <family val="2"/>
    </font>
    <font>
      <b/>
      <u/>
      <sz val="11"/>
      <color theme="1"/>
      <name val="Calibri"/>
      <family val="2"/>
      <scheme val="minor"/>
    </font>
    <font>
      <i/>
      <sz val="8"/>
      <color theme="1"/>
      <name val="Calibri"/>
      <family val="2"/>
      <scheme val="minor"/>
    </font>
    <font>
      <sz val="8"/>
      <name val="Calibri"/>
      <family val="2"/>
    </font>
    <font>
      <sz val="10"/>
      <color theme="1"/>
      <name val="Arial"/>
      <family val="2"/>
    </font>
    <font>
      <b/>
      <i/>
      <sz val="14"/>
      <color theme="1"/>
      <name val="Calibri"/>
      <family val="2"/>
      <scheme val="minor"/>
    </font>
    <font>
      <sz val="12"/>
      <color rgb="FF222222"/>
      <name val="Inherit"/>
    </font>
    <font>
      <b/>
      <sz val="12"/>
      <color theme="3"/>
      <name val="Calibri"/>
      <family val="2"/>
      <scheme val="minor"/>
    </font>
    <font>
      <b/>
      <i/>
      <sz val="10"/>
      <color rgb="FF222222"/>
      <name val="Inherit"/>
    </font>
    <font>
      <sz val="10"/>
      <color rgb="FF222222"/>
      <name val="Inherit"/>
    </font>
    <font>
      <i/>
      <sz val="14"/>
      <color theme="1"/>
      <name val="Calibri"/>
      <family val="2"/>
      <scheme val="minor"/>
    </font>
    <font>
      <i/>
      <sz val="12"/>
      <color rgb="FF000000"/>
      <name val="Calibri"/>
      <family val="2"/>
    </font>
    <font>
      <sz val="14"/>
      <color theme="1"/>
      <name val="Calibri"/>
      <family val="2"/>
      <scheme val="minor"/>
    </font>
    <font>
      <b/>
      <sz val="10"/>
      <color rgb="FF222222"/>
      <name val="Inherit"/>
    </font>
    <font>
      <sz val="14"/>
      <color rgb="FF000000"/>
      <name val="Calibri"/>
      <family val="2"/>
    </font>
    <font>
      <b/>
      <sz val="16"/>
      <color theme="3"/>
      <name val="Calibri"/>
      <family val="2"/>
      <scheme val="minor"/>
    </font>
    <font>
      <sz val="11"/>
      <color rgb="FF006100"/>
      <name val="Calibri"/>
      <family val="2"/>
      <scheme val="minor"/>
    </font>
    <font>
      <sz val="11"/>
      <color rgb="FFFA7D00"/>
      <name val="Calibri"/>
      <family val="2"/>
      <scheme val="minor"/>
    </font>
    <font>
      <b/>
      <sz val="16"/>
      <color theme="1"/>
      <name val="Calibri"/>
      <family val="2"/>
      <scheme val="minor"/>
    </font>
    <font>
      <b/>
      <u/>
      <sz val="16"/>
      <color theme="1"/>
      <name val="Arial"/>
      <family val="2"/>
    </font>
    <font>
      <b/>
      <sz val="16"/>
      <color theme="1"/>
      <name val="Arial"/>
      <family val="2"/>
    </font>
    <font>
      <b/>
      <i/>
      <sz val="16"/>
      <color theme="1"/>
      <name val="Calibri"/>
      <family val="2"/>
      <scheme val="minor"/>
    </font>
    <font>
      <i/>
      <sz val="10"/>
      <color theme="1"/>
      <name val="Calibri"/>
      <family val="2"/>
      <scheme val="minor"/>
    </font>
    <font>
      <u/>
      <sz val="12"/>
      <color rgb="FFFF0000"/>
      <name val="Arial"/>
      <family val="2"/>
    </font>
    <font>
      <b/>
      <i/>
      <u/>
      <sz val="11"/>
      <color theme="1"/>
      <name val="Calibri"/>
      <family val="2"/>
      <scheme val="minor"/>
    </font>
    <font>
      <i/>
      <sz val="11"/>
      <color theme="0"/>
      <name val="Arial"/>
      <family val="2"/>
    </font>
    <font>
      <b/>
      <u/>
      <sz val="14"/>
      <color rgb="FF000000"/>
      <name val="Calibri"/>
      <family val="2"/>
    </font>
    <font>
      <sz val="8"/>
      <color rgb="FF444444"/>
      <name val="Arial"/>
      <family val="2"/>
    </font>
    <font>
      <sz val="9"/>
      <name val="Calibri"/>
      <family val="2"/>
    </font>
    <font>
      <u/>
      <sz val="18"/>
      <color rgb="FF9D9D9D"/>
      <name val="Cambria"/>
      <family val="2"/>
    </font>
    <font>
      <i/>
      <sz val="10"/>
      <color theme="1"/>
      <name val="Calibri"/>
      <family val="2"/>
    </font>
    <font>
      <u/>
      <sz val="12"/>
      <color theme="4"/>
      <name val="Arial"/>
      <family val="2"/>
    </font>
    <font>
      <u/>
      <sz val="12"/>
      <color theme="5"/>
      <name val="Arial"/>
      <family val="2"/>
    </font>
    <font>
      <b/>
      <sz val="13"/>
      <color theme="3"/>
      <name val="Calibri"/>
      <family val="2"/>
      <scheme val="minor"/>
    </font>
    <font>
      <b/>
      <sz val="11"/>
      <color rgb="FFFF0000"/>
      <name val="Calibri"/>
      <family val="2"/>
      <scheme val="minor"/>
    </font>
    <font>
      <b/>
      <sz val="11"/>
      <color rgb="FFFA7D00"/>
      <name val="Calibri"/>
      <family val="2"/>
      <scheme val="minor"/>
    </font>
    <font>
      <sz val="16"/>
      <color theme="1"/>
      <name val="Calibri"/>
      <family val="2"/>
      <scheme val="minor"/>
    </font>
    <font>
      <sz val="11"/>
      <color rgb="FF3F3F76"/>
      <name val="Calibri"/>
      <family val="2"/>
      <scheme val="minor"/>
    </font>
    <font>
      <sz val="16"/>
      <color rgb="FF3F3F76"/>
      <name val="Calibri"/>
      <family val="2"/>
      <scheme val="minor"/>
    </font>
    <font>
      <i/>
      <sz val="16"/>
      <color theme="1"/>
      <name val="Calibri"/>
      <family val="2"/>
      <scheme val="minor"/>
    </font>
    <font>
      <b/>
      <sz val="14"/>
      <color theme="1"/>
      <name val="Calibri"/>
      <family val="2"/>
      <scheme val="minor"/>
    </font>
    <font>
      <i/>
      <sz val="14"/>
      <color rgb="FF000000"/>
      <name val="Calibri"/>
      <family val="2"/>
    </font>
    <font>
      <b/>
      <sz val="14"/>
      <color rgb="FF000000"/>
      <name val="Calibri"/>
      <family val="2"/>
    </font>
    <font>
      <b/>
      <sz val="12.1"/>
      <color rgb="FF000000"/>
      <name val="Inherit"/>
    </font>
    <font>
      <b/>
      <sz val="18"/>
      <color theme="3"/>
      <name val="Calibri"/>
      <family val="2"/>
      <scheme val="minor"/>
    </font>
    <font>
      <b/>
      <sz val="11.5"/>
      <color theme="3"/>
      <name val="Calibri"/>
      <family val="2"/>
      <scheme val="minor"/>
    </font>
    <font>
      <sz val="12"/>
      <color rgb="FF000000"/>
      <name val="Calibri"/>
      <family val="2"/>
    </font>
    <font>
      <sz val="12.1"/>
      <name val="Inherit"/>
    </font>
    <font>
      <sz val="11"/>
      <color rgb="FF000000"/>
      <name val="Calibri"/>
      <family val="2"/>
      <scheme val="minor"/>
    </font>
    <font>
      <sz val="9"/>
      <color rgb="FF000000"/>
      <name val="Calibri"/>
      <family val="2"/>
      <scheme val="minor"/>
    </font>
    <font>
      <b/>
      <sz val="9"/>
      <color rgb="FFFF0000"/>
      <name val="Calibri"/>
      <family val="2"/>
      <scheme val="minor"/>
    </font>
    <font>
      <sz val="8"/>
      <color rgb="FF000000"/>
      <name val="Calibri"/>
      <family val="2"/>
      <scheme val="minor"/>
    </font>
    <font>
      <sz val="14"/>
      <name val="Calibri"/>
      <family val="2"/>
      <scheme val="minor"/>
    </font>
    <font>
      <i/>
      <sz val="14"/>
      <name val="Calibri"/>
      <family val="2"/>
      <scheme val="minor"/>
    </font>
    <font>
      <b/>
      <sz val="10"/>
      <color theme="3"/>
      <name val="Calibri"/>
      <family val="2"/>
      <scheme val="minor"/>
    </font>
    <font>
      <i/>
      <sz val="10"/>
      <color rgb="FF000000"/>
      <name val="Calibri"/>
      <family val="2"/>
    </font>
    <font>
      <sz val="12"/>
      <name val="Calibri"/>
      <family val="2"/>
      <scheme val="minor"/>
    </font>
    <font>
      <b/>
      <sz val="14"/>
      <name val="Calibri"/>
      <family val="2"/>
      <scheme val="minor"/>
    </font>
  </fonts>
  <fills count="49">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A5A5A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9EC1C6"/>
        <bgColor indexed="64"/>
      </patternFill>
    </fill>
    <fill>
      <patternFill patternType="solid">
        <fgColor rgb="FFD3E3E5"/>
        <bgColor indexed="64"/>
      </patternFill>
    </fill>
    <fill>
      <patternFill patternType="solid">
        <fgColor rgb="FFEBF1DE"/>
        <bgColor rgb="FF000000"/>
      </patternFill>
    </fill>
    <fill>
      <patternFill patternType="solid">
        <fgColor theme="8"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rgb="FFFFFFCC"/>
        <bgColor indexed="64"/>
      </patternFill>
    </fill>
    <fill>
      <patternFill patternType="solid">
        <fgColor rgb="FFE1E1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9E1F2"/>
        <bgColor rgb="FF000000"/>
      </patternFill>
    </fill>
    <fill>
      <patternFill patternType="solid">
        <fgColor rgb="FFFFFFFF"/>
        <bgColor rgb="FF000000"/>
      </patternFill>
    </fill>
    <fill>
      <patternFill patternType="solid">
        <fgColor rgb="FFAEAAAA"/>
        <bgColor rgb="FF000000"/>
      </patternFill>
    </fill>
    <fill>
      <patternFill patternType="solid">
        <fgColor rgb="FFB4C6E7"/>
        <bgColor rgb="FF000000"/>
      </patternFill>
    </fill>
    <fill>
      <patternFill patternType="solid">
        <fgColor rgb="FFC5D9DC"/>
        <bgColor rgb="FF000000"/>
      </patternFill>
    </fill>
    <fill>
      <patternFill patternType="solid">
        <fgColor rgb="FFFFF7CC"/>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79998168889431442"/>
        <bgColor indexed="65"/>
      </patternFill>
    </fill>
    <fill>
      <patternFill patternType="solid">
        <fgColor indexed="41"/>
        <bgColor indexed="64"/>
      </patternFill>
    </fill>
    <fill>
      <patternFill patternType="solid">
        <fgColor rgb="FFFFFFFF"/>
        <bgColor indexed="64"/>
      </patternFill>
    </fill>
    <fill>
      <patternFill patternType="solid">
        <fgColor theme="7" tint="-0.249977111117893"/>
        <bgColor indexed="64"/>
      </patternFill>
    </fill>
  </fills>
  <borders count="105">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theme="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bottom/>
      <diagonal/>
    </border>
    <border>
      <left style="double">
        <color indexed="64"/>
      </left>
      <right style="double">
        <color indexed="64"/>
      </right>
      <top/>
      <bottom style="thin">
        <color auto="1"/>
      </bottom>
      <diagonal/>
    </border>
    <border>
      <left/>
      <right/>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right/>
      <top style="medium">
        <color indexed="64"/>
      </top>
      <bottom/>
      <diagonal/>
    </border>
    <border>
      <left style="medium">
        <color rgb="FFA9A9A9"/>
      </left>
      <right/>
      <top style="medium">
        <color rgb="FFA9A9A9"/>
      </top>
      <bottom style="medium">
        <color rgb="FFA9A9A9"/>
      </bottom>
      <diagonal/>
    </border>
    <border>
      <left style="double">
        <color theme="4"/>
      </left>
      <right style="double">
        <color theme="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theme="4"/>
      </right>
      <top style="medium">
        <color rgb="FFA9A9A9"/>
      </top>
      <bottom style="thin">
        <color indexed="64"/>
      </bottom>
      <diagonal/>
    </border>
    <border>
      <left style="double">
        <color theme="4"/>
      </left>
      <right/>
      <top style="double">
        <color theme="4"/>
      </top>
      <bottom style="thin">
        <color indexed="64"/>
      </bottom>
      <diagonal/>
    </border>
    <border>
      <left style="double">
        <color theme="4"/>
      </left>
      <right style="double">
        <color theme="4"/>
      </right>
      <top style="double">
        <color theme="4"/>
      </top>
      <bottom style="thin">
        <color indexed="64"/>
      </bottom>
      <diagonal/>
    </border>
    <border>
      <left style="double">
        <color theme="4"/>
      </left>
      <right/>
      <top/>
      <bottom style="thin">
        <color indexed="64"/>
      </bottom>
      <diagonal/>
    </border>
    <border>
      <left style="double">
        <color theme="4"/>
      </left>
      <right style="double">
        <color theme="4"/>
      </right>
      <top/>
      <bottom style="thin">
        <color indexed="64"/>
      </bottom>
      <diagonal/>
    </border>
    <border>
      <left style="medium">
        <color rgb="FFA9A9A9"/>
      </left>
      <right/>
      <top style="medium">
        <color rgb="FFA9A9A9"/>
      </top>
      <bottom style="medium">
        <color indexed="64"/>
      </bottom>
      <diagonal/>
    </border>
    <border>
      <left style="double">
        <color theme="4"/>
      </left>
      <right style="double">
        <color theme="4"/>
      </right>
      <top/>
      <bottom style="medium">
        <color indexed="64"/>
      </bottom>
      <diagonal/>
    </border>
    <border>
      <left/>
      <right/>
      <top/>
      <bottom style="double">
        <color rgb="FFFF80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right/>
      <top/>
      <bottom style="thick">
        <color theme="4" tint="0.499984740745262"/>
      </bottom>
      <diagonal/>
    </border>
    <border>
      <left style="thin">
        <color indexed="64"/>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2" tint="-0.249977111117893"/>
      </bottom>
      <diagonal/>
    </border>
    <border>
      <left/>
      <right style="double">
        <color theme="4"/>
      </right>
      <top/>
      <bottom style="medium">
        <color indexed="64"/>
      </bottom>
      <diagonal/>
    </border>
    <border>
      <left/>
      <right style="medium">
        <color indexed="64"/>
      </right>
      <top style="medium">
        <color indexed="64"/>
      </top>
      <bottom style="medium">
        <color indexed="64"/>
      </bottom>
      <diagonal/>
    </border>
    <border>
      <left/>
      <right style="medium">
        <color rgb="FFA9A9A9"/>
      </right>
      <top/>
      <bottom/>
      <diagonal/>
    </border>
    <border>
      <left style="medium">
        <color rgb="FFA9A9A9"/>
      </left>
      <right/>
      <top/>
      <bottom style="medium">
        <color rgb="FFA9A9A9"/>
      </bottom>
      <diagonal/>
    </border>
    <border>
      <left/>
      <right/>
      <top/>
      <bottom style="medium">
        <color rgb="FFA9A9A9"/>
      </bottom>
      <diagonal/>
    </border>
    <border>
      <left/>
      <right style="medium">
        <color rgb="FFA9A9A9"/>
      </right>
      <top style="medium">
        <color rgb="FFA9A9A9"/>
      </top>
      <bottom style="medium">
        <color rgb="FFA9A9A9"/>
      </bottom>
      <diagonal/>
    </border>
    <border>
      <left/>
      <right/>
      <top style="medium">
        <color rgb="FFA9A9A9"/>
      </top>
      <bottom style="medium">
        <color rgb="FFA9A9A9"/>
      </bottom>
      <diagonal/>
    </border>
    <border>
      <left/>
      <right style="medium">
        <color rgb="FFA9A9A9"/>
      </right>
      <top/>
      <bottom style="medium">
        <color rgb="FFA9A9A9"/>
      </bottom>
      <diagonal/>
    </border>
    <border>
      <left style="medium">
        <color rgb="FFA9A9A9"/>
      </left>
      <right style="medium">
        <color rgb="FFA9A9A9"/>
      </right>
      <top style="medium">
        <color rgb="FFA9A9A9"/>
      </top>
      <bottom style="medium">
        <color rgb="FFA9A9A9"/>
      </bottom>
      <diagonal/>
    </border>
    <border>
      <left style="double">
        <color auto="1"/>
      </left>
      <right/>
      <top style="double">
        <color auto="1"/>
      </top>
      <bottom/>
      <diagonal/>
    </border>
    <border>
      <left/>
      <right style="double">
        <color auto="1"/>
      </right>
      <top style="double">
        <color auto="1"/>
      </top>
      <bottom/>
      <diagonal/>
    </border>
    <border>
      <left style="double">
        <color theme="4"/>
      </left>
      <right/>
      <top/>
      <bottom/>
      <diagonal/>
    </border>
    <border>
      <left style="double">
        <color theme="4"/>
      </left>
      <right/>
      <top style="double">
        <color theme="4"/>
      </top>
      <bottom/>
      <diagonal/>
    </border>
    <border>
      <left style="double">
        <color theme="4"/>
      </left>
      <right style="double">
        <color theme="4"/>
      </right>
      <top style="double">
        <color theme="4"/>
      </top>
      <bottom style="double">
        <color theme="4"/>
      </bottom>
      <diagonal/>
    </border>
    <border>
      <left style="medium">
        <color rgb="FFA9A9A9"/>
      </left>
      <right style="double">
        <color theme="4"/>
      </right>
      <top style="double">
        <color theme="4"/>
      </top>
      <bottom style="medium">
        <color rgb="FFA9A9A9"/>
      </bottom>
      <diagonal/>
    </border>
    <border>
      <left style="double">
        <color theme="4"/>
      </left>
      <right style="double">
        <color theme="4"/>
      </right>
      <top style="double">
        <color theme="4"/>
      </top>
      <bottom style="thin">
        <color theme="2" tint="-0.249977111117893"/>
      </bottom>
      <diagonal/>
    </border>
    <border>
      <left style="double">
        <color theme="4"/>
      </left>
      <right style="double">
        <color theme="4"/>
      </right>
      <top style="double">
        <color theme="4"/>
      </top>
      <bottom/>
      <diagonal/>
    </border>
    <border>
      <left style="medium">
        <color rgb="FFA9A9A9"/>
      </left>
      <right style="double">
        <color theme="4"/>
      </right>
      <top style="medium">
        <color rgb="FFA9A9A9"/>
      </top>
      <bottom style="medium">
        <color rgb="FFA9A9A9"/>
      </bottom>
      <diagonal/>
    </border>
    <border>
      <left style="double">
        <color theme="4"/>
      </left>
      <right style="double">
        <color theme="4"/>
      </right>
      <top style="thin">
        <color theme="2" tint="-0.249977111117893"/>
      </top>
      <bottom style="thin">
        <color theme="2" tint="-0.249977111117893"/>
      </bottom>
      <diagonal/>
    </border>
    <border>
      <left style="double">
        <color theme="4"/>
      </left>
      <right style="medium">
        <color rgb="FFA9A9A9"/>
      </right>
      <top/>
      <bottom/>
      <diagonal/>
    </border>
    <border>
      <left style="medium">
        <color rgb="FFA9A9A9"/>
      </left>
      <right style="double">
        <color theme="4"/>
      </right>
      <top style="medium">
        <color rgb="FFA9A9A9"/>
      </top>
      <bottom style="double">
        <color theme="4"/>
      </bottom>
      <diagonal/>
    </border>
    <border>
      <left style="double">
        <color theme="4"/>
      </left>
      <right style="double">
        <color theme="4"/>
      </right>
      <top/>
      <bottom style="double">
        <color theme="4"/>
      </bottom>
      <diagonal/>
    </border>
    <border>
      <left style="double">
        <color theme="4"/>
      </left>
      <right style="double">
        <color theme="4"/>
      </right>
      <top style="medium">
        <color rgb="FFA9A9A9"/>
      </top>
      <bottom style="double">
        <color theme="4"/>
      </bottom>
      <diagonal/>
    </border>
    <border>
      <left style="medium">
        <color indexed="64"/>
      </left>
      <right/>
      <top/>
      <bottom style="thin">
        <color theme="4"/>
      </bottom>
      <diagonal/>
    </border>
    <border>
      <left/>
      <right/>
      <top/>
      <bottom style="thin">
        <color theme="4"/>
      </bottom>
      <diagonal/>
    </border>
    <border>
      <left style="thick">
        <color auto="1"/>
      </left>
      <right style="double">
        <color theme="4"/>
      </right>
      <top/>
      <bottom style="thin">
        <color indexed="64"/>
      </bottom>
      <diagonal/>
    </border>
    <border>
      <left style="thick">
        <color auto="1"/>
      </left>
      <right style="double">
        <color theme="4"/>
      </right>
      <top/>
      <bottom/>
      <diagonal/>
    </border>
    <border>
      <left style="double">
        <color theme="4"/>
      </left>
      <right/>
      <top/>
      <bottom style="medium">
        <color indexed="64"/>
      </bottom>
      <diagonal/>
    </border>
    <border>
      <left style="thick">
        <color auto="1"/>
      </left>
      <right style="double">
        <color theme="4"/>
      </right>
      <top/>
      <bottom style="medium">
        <color indexed="64"/>
      </bottom>
      <diagonal/>
    </border>
    <border>
      <left/>
      <right style="medium">
        <color rgb="FFA9A9A9"/>
      </right>
      <top style="medium">
        <color rgb="FFA9A9A9"/>
      </top>
      <bottom/>
      <diagonal/>
    </border>
    <border>
      <left style="thin">
        <color theme="2" tint="-0.249977111117893"/>
      </left>
      <right style="double">
        <color theme="4"/>
      </right>
      <top style="medium">
        <color rgb="FFA9A9A9"/>
      </top>
      <bottom style="thin">
        <color theme="2" tint="-0.249977111117893"/>
      </bottom>
      <diagonal/>
    </border>
    <border>
      <left/>
      <right style="double">
        <color theme="4"/>
      </right>
      <top style="double">
        <color theme="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double">
        <color theme="4"/>
      </right>
      <top/>
      <bottom/>
      <diagonal/>
    </border>
    <border>
      <left/>
      <right style="double">
        <color theme="4"/>
      </right>
      <top/>
      <bottom style="double">
        <color theme="4"/>
      </bottom>
      <diagonal/>
    </border>
    <border>
      <left/>
      <right/>
      <top/>
      <bottom style="double">
        <color theme="4"/>
      </bottom>
      <diagonal/>
    </border>
    <border>
      <left style="thick">
        <color auto="1"/>
      </left>
      <right style="double">
        <color theme="4"/>
      </right>
      <top style="medium">
        <color rgb="FFA9A9A9"/>
      </top>
      <bottom style="thin">
        <color indexed="64"/>
      </bottom>
      <diagonal/>
    </border>
    <border>
      <left style="thick">
        <color auto="1"/>
      </left>
      <right style="double">
        <color theme="4"/>
      </right>
      <top style="medium">
        <color rgb="FFA9A9A9"/>
      </top>
      <bottom style="medium">
        <color rgb="FFA9A9A9"/>
      </bottom>
      <diagonal/>
    </border>
    <border>
      <left style="medium">
        <color indexed="64"/>
      </left>
      <right style="medium">
        <color indexed="64"/>
      </right>
      <top style="medium">
        <color rgb="FFA9A9A9"/>
      </top>
      <bottom style="medium">
        <color rgb="FFA9A9A9"/>
      </bottom>
      <diagonal/>
    </border>
    <border>
      <left style="thick">
        <color auto="1"/>
      </left>
      <right style="double">
        <color theme="4"/>
      </right>
      <top style="medium">
        <color rgb="FFA9A9A9"/>
      </top>
      <bottom style="medium">
        <color indexed="64"/>
      </bottom>
      <diagonal/>
    </border>
    <border>
      <left style="medium">
        <color indexed="64"/>
      </left>
      <right style="medium">
        <color indexed="64"/>
      </right>
      <top style="medium">
        <color rgb="FFA9A9A9"/>
      </top>
      <bottom style="medium">
        <color indexed="64"/>
      </bottom>
      <diagonal/>
    </border>
  </borders>
  <cellStyleXfs count="88">
    <xf numFmtId="0" fontId="0" fillId="0" borderId="0"/>
    <xf numFmtId="9" fontId="12" fillId="0" borderId="0" applyFont="0" applyFill="0" applyBorder="0" applyAlignment="0" applyProtection="0"/>
    <xf numFmtId="0" fontId="14" fillId="3" borderId="2" applyNumberFormat="0" applyAlignment="0" applyProtection="0"/>
    <xf numFmtId="0" fontId="15" fillId="4" borderId="2" applyNumberFormat="0" applyAlignment="0" applyProtection="0"/>
    <xf numFmtId="0" fontId="12" fillId="5" borderId="3" applyNumberFormat="0" applyFont="0" applyAlignment="0" applyProtection="0"/>
    <xf numFmtId="0" fontId="17" fillId="0" borderId="0"/>
    <xf numFmtId="0" fontId="19" fillId="2" borderId="0" applyNumberFormat="0" applyBorder="0" applyAlignment="0" applyProtection="0"/>
    <xf numFmtId="0" fontId="20" fillId="0" borderId="0"/>
    <xf numFmtId="0" fontId="21" fillId="0" borderId="0"/>
    <xf numFmtId="3" fontId="22" fillId="0" borderId="0"/>
    <xf numFmtId="3" fontId="22" fillId="0" borderId="0"/>
    <xf numFmtId="49" fontId="23" fillId="0" borderId="0"/>
    <xf numFmtId="166" fontId="24" fillId="0" borderId="0" applyBorder="0" applyAlignment="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2" fillId="0" borderId="0"/>
    <xf numFmtId="0" fontId="20" fillId="0" borderId="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0" fontId="13" fillId="0" borderId="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4" fontId="12" fillId="0" borderId="0" applyFont="0" applyFill="0" applyBorder="0" applyAlignment="0" applyProtection="0"/>
    <xf numFmtId="0" fontId="28" fillId="8" borderId="14" applyNumberFormat="0" applyAlignment="0" applyProtection="0"/>
    <xf numFmtId="0" fontId="30" fillId="0" borderId="0" applyNumberFormat="0" applyFill="0" applyBorder="0" applyAlignment="0" applyProtection="0"/>
    <xf numFmtId="0" fontId="26" fillId="0" borderId="15" applyNumberFormat="0" applyFill="0" applyAlignment="0" applyProtection="0"/>
    <xf numFmtId="0" fontId="11" fillId="9" borderId="0" applyNumberFormat="0" applyBorder="0" applyAlignment="0" applyProtection="0"/>
    <xf numFmtId="0" fontId="11" fillId="10" borderId="0" applyNumberFormat="0" applyBorder="0" applyAlignment="0" applyProtection="0"/>
    <xf numFmtId="0" fontId="34" fillId="0" borderId="0" applyNumberFormat="0" applyFill="0" applyBorder="0" applyAlignment="0" applyProtection="0"/>
    <xf numFmtId="0" fontId="11" fillId="0" borderId="0"/>
    <xf numFmtId="0" fontId="20" fillId="0" borderId="0"/>
    <xf numFmtId="0" fontId="2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1" fillId="0" borderId="0"/>
    <xf numFmtId="0" fontId="7" fillId="0" borderId="0"/>
    <xf numFmtId="0" fontId="5" fillId="10"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0" fillId="0" borderId="0"/>
    <xf numFmtId="0" fontId="24" fillId="0" borderId="0" applyNumberFormat="0" applyBorder="0" applyAlignment="0"/>
    <xf numFmtId="9" fontId="20"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38" fillId="2" borderId="0" applyNumberFormat="0" applyBorder="0" applyAlignment="0" applyProtection="0"/>
    <xf numFmtId="0" fontId="139" fillId="0" borderId="49" applyNumberFormat="0" applyFill="0" applyAlignment="0" applyProtection="0"/>
    <xf numFmtId="0" fontId="3" fillId="0" borderId="0"/>
    <xf numFmtId="0" fontId="24" fillId="0" borderId="0" applyNumberFormat="0" applyBorder="0" applyAlignment="0"/>
    <xf numFmtId="0" fontId="155" fillId="0" borderId="59" applyNumberFormat="0" applyFill="0" applyAlignment="0" applyProtection="0"/>
    <xf numFmtId="0" fontId="2" fillId="45" borderId="0" applyNumberFormat="0" applyBorder="0" applyAlignment="0" applyProtection="0"/>
    <xf numFmtId="0" fontId="2" fillId="0" borderId="0"/>
    <xf numFmtId="0" fontId="91" fillId="0" borderId="0" applyNumberFormat="0" applyFill="0" applyBorder="0" applyAlignment="0" applyProtection="0"/>
    <xf numFmtId="0" fontId="157" fillId="4" borderId="2" applyNumberFormat="0" applyAlignment="0" applyProtection="0"/>
    <xf numFmtId="0" fontId="159" fillId="3" borderId="2" applyNumberFormat="0" applyAlignment="0" applyProtection="0"/>
    <xf numFmtId="43" fontId="2" fillId="0" borderId="0" applyFont="0" applyFill="0" applyBorder="0" applyAlignment="0" applyProtection="0"/>
    <xf numFmtId="0" fontId="1" fillId="0" borderId="0"/>
    <xf numFmtId="0" fontId="24" fillId="0" borderId="0" applyBorder="0"/>
    <xf numFmtId="9" fontId="1" fillId="0" borderId="0" applyFont="0" applyFill="0" applyBorder="0" applyAlignment="0" applyProtection="0"/>
  </cellStyleXfs>
  <cellXfs count="1164">
    <xf numFmtId="0" fontId="0" fillId="0" borderId="0" xfId="0"/>
    <xf numFmtId="0" fontId="16" fillId="0" borderId="0" xfId="0" applyFont="1"/>
    <xf numFmtId="3" fontId="0" fillId="0" borderId="0" xfId="0" applyNumberFormat="1"/>
    <xf numFmtId="0" fontId="23" fillId="0" borderId="0" xfId="0" applyFont="1"/>
    <xf numFmtId="0" fontId="26" fillId="0" borderId="0" xfId="0" applyFont="1"/>
    <xf numFmtId="0" fontId="11" fillId="0" borderId="0" xfId="0" applyFont="1"/>
    <xf numFmtId="0" fontId="26" fillId="0" borderId="0" xfId="37" applyFont="1" applyFill="1"/>
    <xf numFmtId="0" fontId="26" fillId="0" borderId="10" xfId="0" applyFont="1" applyBorder="1"/>
    <xf numFmtId="0" fontId="26" fillId="0" borderId="4" xfId="0" applyFont="1" applyBorder="1"/>
    <xf numFmtId="0" fontId="26" fillId="0" borderId="7" xfId="37" applyFont="1" applyFill="1" applyBorder="1"/>
    <xf numFmtId="0" fontId="32" fillId="0" borderId="0" xfId="0" applyFont="1"/>
    <xf numFmtId="0" fontId="33" fillId="0" borderId="0" xfId="0" applyFont="1"/>
    <xf numFmtId="3" fontId="11" fillId="0" borderId="0" xfId="37" applyNumberFormat="1" applyFill="1"/>
    <xf numFmtId="3" fontId="26" fillId="0" borderId="0" xfId="37" applyNumberFormat="1" applyFont="1" applyFill="1"/>
    <xf numFmtId="3" fontId="26" fillId="0" borderId="0" xfId="0" applyNumberFormat="1" applyFont="1"/>
    <xf numFmtId="0" fontId="31" fillId="0" borderId="0" xfId="4" applyFont="1" applyFill="1" applyBorder="1"/>
    <xf numFmtId="0" fontId="29" fillId="0" borderId="0" xfId="0" applyFont="1"/>
    <xf numFmtId="0" fontId="27" fillId="0" borderId="0" xfId="0" applyFont="1"/>
    <xf numFmtId="0" fontId="10" fillId="0" borderId="0" xfId="0" applyFont="1"/>
    <xf numFmtId="0" fontId="35" fillId="0" borderId="0" xfId="38" applyFont="1" applyFill="1" applyBorder="1"/>
    <xf numFmtId="169" fontId="37" fillId="0" borderId="0" xfId="0" applyNumberFormat="1" applyFont="1"/>
    <xf numFmtId="0" fontId="38" fillId="0" borderId="0" xfId="0" applyFont="1"/>
    <xf numFmtId="0" fontId="18" fillId="0" borderId="0" xfId="0" applyFont="1" applyAlignment="1">
      <alignment horizontal="left"/>
    </xf>
    <xf numFmtId="3" fontId="18" fillId="0" borderId="0" xfId="0" applyNumberFormat="1" applyFont="1"/>
    <xf numFmtId="0" fontId="31" fillId="0" borderId="10" xfId="2" applyFont="1" applyFill="1" applyBorder="1"/>
    <xf numFmtId="49" fontId="26" fillId="0" borderId="10" xfId="0" applyNumberFormat="1" applyFont="1" applyBorder="1" applyAlignment="1">
      <alignment horizontal="center"/>
    </xf>
    <xf numFmtId="3" fontId="24" fillId="0" borderId="0" xfId="0" applyNumberFormat="1" applyFont="1"/>
    <xf numFmtId="3" fontId="27" fillId="0" borderId="0" xfId="0" applyNumberFormat="1" applyFont="1"/>
    <xf numFmtId="0" fontId="42" fillId="16" borderId="0" xfId="0" applyFont="1" applyFill="1" applyAlignment="1">
      <alignment horizontal="left" vertical="center"/>
    </xf>
    <xf numFmtId="3" fontId="42" fillId="16" borderId="0" xfId="0" applyNumberFormat="1" applyFont="1" applyFill="1" applyAlignment="1">
      <alignment horizontal="center" vertical="center"/>
    </xf>
    <xf numFmtId="3" fontId="42" fillId="16" borderId="13" xfId="0" applyNumberFormat="1" applyFont="1" applyFill="1" applyBorder="1" applyAlignment="1">
      <alignment horizontal="center" vertical="justify"/>
    </xf>
    <xf numFmtId="3" fontId="42" fillId="16" borderId="0" xfId="0" applyNumberFormat="1" applyFont="1" applyFill="1" applyAlignment="1">
      <alignment horizontal="center" vertical="justify"/>
    </xf>
    <xf numFmtId="3" fontId="42" fillId="16" borderId="8" xfId="0" applyNumberFormat="1" applyFont="1" applyFill="1" applyBorder="1" applyAlignment="1">
      <alignment horizontal="center" vertical="justify"/>
    </xf>
    <xf numFmtId="3" fontId="39" fillId="16" borderId="0" xfId="0" applyNumberFormat="1" applyFont="1" applyFill="1" applyAlignment="1">
      <alignment horizontal="center" vertical="justify"/>
    </xf>
    <xf numFmtId="3" fontId="39" fillId="16" borderId="5" xfId="0" applyNumberFormat="1" applyFont="1" applyFill="1" applyBorder="1" applyAlignment="1">
      <alignment horizontal="center" vertical="justify"/>
    </xf>
    <xf numFmtId="0" fontId="42" fillId="16" borderId="0" xfId="0" applyFont="1" applyFill="1" applyAlignment="1">
      <alignment horizontal="center" vertical="center"/>
    </xf>
    <xf numFmtId="3" fontId="39" fillId="16" borderId="6" xfId="0" applyNumberFormat="1" applyFont="1" applyFill="1" applyBorder="1" applyAlignment="1">
      <alignment horizontal="center" vertical="justify"/>
    </xf>
    <xf numFmtId="3" fontId="42" fillId="16" borderId="0" xfId="0" quotePrefix="1" applyNumberFormat="1" applyFont="1" applyFill="1" applyAlignment="1">
      <alignment horizontal="center" vertical="justify"/>
    </xf>
    <xf numFmtId="0" fontId="40" fillId="0" borderId="0" xfId="0" applyFont="1"/>
    <xf numFmtId="3" fontId="40" fillId="0" borderId="0" xfId="0" applyNumberFormat="1" applyFont="1"/>
    <xf numFmtId="3" fontId="40" fillId="0" borderId="13" xfId="0" applyNumberFormat="1" applyFont="1" applyBorder="1"/>
    <xf numFmtId="3" fontId="40" fillId="0" borderId="0" xfId="0" applyNumberFormat="1" applyFont="1" applyAlignment="1">
      <alignment horizontal="right"/>
    </xf>
    <xf numFmtId="3" fontId="40" fillId="0" borderId="13" xfId="0" applyNumberFormat="1" applyFont="1" applyBorder="1" applyAlignment="1">
      <alignment horizontal="right"/>
    </xf>
    <xf numFmtId="3" fontId="40" fillId="0" borderId="8" xfId="0" applyNumberFormat="1" applyFont="1" applyBorder="1"/>
    <xf numFmtId="3" fontId="41" fillId="0" borderId="0" xfId="0" applyNumberFormat="1" applyFont="1"/>
    <xf numFmtId="3" fontId="41" fillId="0" borderId="6" xfId="0" applyNumberFormat="1" applyFont="1" applyBorder="1"/>
    <xf numFmtId="0" fontId="42" fillId="0" borderId="10" xfId="0" applyFont="1" applyBorder="1" applyAlignment="1">
      <alignment vertical="center"/>
    </xf>
    <xf numFmtId="3" fontId="42" fillId="0" borderId="10" xfId="0" applyNumberFormat="1" applyFont="1" applyBorder="1" applyAlignment="1">
      <alignment vertical="center"/>
    </xf>
    <xf numFmtId="3" fontId="42" fillId="0" borderId="18" xfId="0" applyNumberFormat="1" applyFont="1" applyBorder="1" applyAlignment="1">
      <alignment vertical="center"/>
    </xf>
    <xf numFmtId="3" fontId="42" fillId="0" borderId="9" xfId="0" applyNumberFormat="1" applyFont="1" applyBorder="1" applyAlignment="1">
      <alignment vertical="center"/>
    </xf>
    <xf numFmtId="3" fontId="39" fillId="0" borderId="0" xfId="0" applyNumberFormat="1" applyFont="1" applyAlignment="1">
      <alignment vertical="center"/>
    </xf>
    <xf numFmtId="3" fontId="39" fillId="0" borderId="6" xfId="0" applyNumberFormat="1" applyFont="1" applyBorder="1" applyAlignment="1">
      <alignment vertical="center"/>
    </xf>
    <xf numFmtId="0" fontId="31" fillId="0" borderId="4" xfId="0" applyFont="1" applyBorder="1"/>
    <xf numFmtId="0" fontId="43" fillId="0" borderId="0" xfId="34" applyFont="1"/>
    <xf numFmtId="0" fontId="26" fillId="0" borderId="0" xfId="0" applyFont="1" applyAlignment="1">
      <alignment wrapText="1"/>
    </xf>
    <xf numFmtId="0" fontId="0" fillId="0" borderId="0" xfId="0" applyAlignment="1">
      <alignment wrapText="1"/>
    </xf>
    <xf numFmtId="3" fontId="18" fillId="0" borderId="0" xfId="0" applyNumberFormat="1" applyFont="1" applyAlignment="1">
      <alignment wrapText="1"/>
    </xf>
    <xf numFmtId="0" fontId="16" fillId="0" borderId="0" xfId="0" applyFont="1" applyAlignment="1">
      <alignment wrapText="1"/>
    </xf>
    <xf numFmtId="0" fontId="44" fillId="15" borderId="11" xfId="0" applyFont="1" applyFill="1" applyBorder="1" applyAlignment="1">
      <alignment horizontal="centerContinuous" vertical="center"/>
    </xf>
    <xf numFmtId="3" fontId="40" fillId="15" borderId="4" xfId="0" applyNumberFormat="1" applyFont="1" applyFill="1" applyBorder="1" applyAlignment="1">
      <alignment horizontal="centerContinuous" vertical="center"/>
    </xf>
    <xf numFmtId="3" fontId="40" fillId="15" borderId="4" xfId="0" applyNumberFormat="1" applyFont="1" applyFill="1" applyBorder="1" applyAlignment="1">
      <alignment horizontal="centerContinuous"/>
    </xf>
    <xf numFmtId="3" fontId="40" fillId="15" borderId="12" xfId="0" applyNumberFormat="1" applyFont="1" applyFill="1" applyBorder="1" applyAlignment="1">
      <alignment horizontal="centerContinuous" vertical="center"/>
    </xf>
    <xf numFmtId="3" fontId="41" fillId="15" borderId="0" xfId="0" applyNumberFormat="1" applyFont="1" applyFill="1" applyAlignment="1">
      <alignment horizontal="centerContinuous" vertical="center"/>
    </xf>
    <xf numFmtId="0" fontId="20" fillId="16" borderId="0" xfId="0" applyFont="1" applyFill="1"/>
    <xf numFmtId="3" fontId="45" fillId="16" borderId="0" xfId="0" applyNumberFormat="1" applyFont="1" applyFill="1" applyAlignment="1">
      <alignment horizontal="center" vertical="center"/>
    </xf>
    <xf numFmtId="0" fontId="46" fillId="16" borderId="0" xfId="0" applyFont="1" applyFill="1" applyAlignment="1">
      <alignment horizontal="center" vertical="center"/>
    </xf>
    <xf numFmtId="3" fontId="46" fillId="16" borderId="0" xfId="0" applyNumberFormat="1" applyFont="1" applyFill="1" applyAlignment="1">
      <alignment horizontal="center" vertical="center"/>
    </xf>
    <xf numFmtId="3" fontId="46" fillId="16" borderId="0" xfId="0" applyNumberFormat="1" applyFont="1" applyFill="1" applyAlignment="1">
      <alignment horizontal="center"/>
    </xf>
    <xf numFmtId="3" fontId="46" fillId="16" borderId="0" xfId="0" applyNumberFormat="1" applyFont="1" applyFill="1" applyAlignment="1">
      <alignment horizontal="center" vertical="justify"/>
    </xf>
    <xf numFmtId="0" fontId="45" fillId="16" borderId="0" xfId="0" applyFont="1" applyFill="1" applyAlignment="1">
      <alignment horizontal="center" vertical="justify"/>
    </xf>
    <xf numFmtId="0" fontId="47" fillId="16" borderId="0" xfId="0" applyFont="1" applyFill="1"/>
    <xf numFmtId="3" fontId="46" fillId="16" borderId="0" xfId="0" applyNumberFormat="1" applyFont="1" applyFill="1" applyAlignment="1">
      <alignment horizontal="right"/>
    </xf>
    <xf numFmtId="3" fontId="48" fillId="16" borderId="13" xfId="0" applyNumberFormat="1" applyFont="1" applyFill="1" applyBorder="1"/>
    <xf numFmtId="0" fontId="46" fillId="16" borderId="0" xfId="0" applyFont="1" applyFill="1" applyAlignment="1">
      <alignment horizontal="center"/>
    </xf>
    <xf numFmtId="3" fontId="45" fillId="16" borderId="0" xfId="0" applyNumberFormat="1" applyFont="1" applyFill="1" applyAlignment="1">
      <alignment horizontal="center"/>
    </xf>
    <xf numFmtId="3" fontId="46" fillId="16" borderId="13" xfId="0" applyNumberFormat="1" applyFont="1" applyFill="1" applyBorder="1" applyAlignment="1">
      <alignment horizontal="right"/>
    </xf>
    <xf numFmtId="3" fontId="46" fillId="16" borderId="13" xfId="0" applyNumberFormat="1" applyFont="1" applyFill="1" applyBorder="1" applyAlignment="1">
      <alignment horizontal="center"/>
    </xf>
    <xf numFmtId="0" fontId="49" fillId="16" borderId="0" xfId="0" applyFont="1" applyFill="1" applyAlignment="1">
      <alignment horizontal="center"/>
    </xf>
    <xf numFmtId="3" fontId="46" fillId="16" borderId="0" xfId="0" applyNumberFormat="1" applyFont="1" applyFill="1" applyAlignment="1">
      <alignment horizontal="left"/>
    </xf>
    <xf numFmtId="0" fontId="50" fillId="0" borderId="0" xfId="0" applyFont="1"/>
    <xf numFmtId="14" fontId="43" fillId="0" borderId="0" xfId="34" applyNumberFormat="1" applyFont="1"/>
    <xf numFmtId="0" fontId="35" fillId="0" borderId="0" xfId="38" applyFont="1" applyFill="1"/>
    <xf numFmtId="0" fontId="36" fillId="0" borderId="0" xfId="0" applyFont="1"/>
    <xf numFmtId="14" fontId="36" fillId="0" borderId="0" xfId="0" applyNumberFormat="1" applyFont="1"/>
    <xf numFmtId="0" fontId="51" fillId="0" borderId="0" xfId="37" applyFont="1" applyFill="1"/>
    <xf numFmtId="0" fontId="52" fillId="0" borderId="0" xfId="0" applyFont="1"/>
    <xf numFmtId="0" fontId="53" fillId="0" borderId="0" xfId="0" applyFont="1"/>
    <xf numFmtId="0" fontId="26" fillId="17" borderId="0" xfId="37" applyFont="1" applyFill="1" applyAlignment="1">
      <alignment wrapText="1"/>
    </xf>
    <xf numFmtId="3" fontId="26" fillId="17" borderId="0" xfId="0" applyNumberFormat="1" applyFont="1" applyFill="1"/>
    <xf numFmtId="49" fontId="26" fillId="17" borderId="0" xfId="37" applyNumberFormat="1" applyFont="1" applyFill="1" applyAlignment="1">
      <alignment wrapText="1"/>
    </xf>
    <xf numFmtId="3" fontId="26" fillId="12" borderId="0" xfId="0" applyNumberFormat="1" applyFont="1" applyFill="1"/>
    <xf numFmtId="0" fontId="54" fillId="0" borderId="0" xfId="0" applyFont="1"/>
    <xf numFmtId="0" fontId="26" fillId="17" borderId="10" xfId="37" applyFont="1" applyFill="1" applyBorder="1" applyAlignment="1">
      <alignment wrapText="1"/>
    </xf>
    <xf numFmtId="3" fontId="52" fillId="0" borderId="0" xfId="0" applyNumberFormat="1" applyFont="1"/>
    <xf numFmtId="3" fontId="52" fillId="0" borderId="10" xfId="0" applyNumberFormat="1" applyFont="1" applyBorder="1"/>
    <xf numFmtId="0" fontId="55" fillId="0" borderId="0" xfId="0" applyFont="1"/>
    <xf numFmtId="0" fontId="55" fillId="0" borderId="10" xfId="0" applyFont="1" applyBorder="1"/>
    <xf numFmtId="3" fontId="56" fillId="0" borderId="0" xfId="0" applyNumberFormat="1" applyFont="1"/>
    <xf numFmtId="3" fontId="55" fillId="0" borderId="0" xfId="0" applyNumberFormat="1" applyFont="1"/>
    <xf numFmtId="16" fontId="57" fillId="0" borderId="10" xfId="2" applyNumberFormat="1" applyFont="1" applyFill="1" applyBorder="1"/>
    <xf numFmtId="0" fontId="57" fillId="0" borderId="10" xfId="2" applyFont="1" applyFill="1" applyBorder="1"/>
    <xf numFmtId="3" fontId="58" fillId="8" borderId="14" xfId="33" applyNumberFormat="1" applyFont="1"/>
    <xf numFmtId="3" fontId="59" fillId="8" borderId="14" xfId="33" applyNumberFormat="1" applyFont="1"/>
    <xf numFmtId="0" fontId="56" fillId="0" borderId="10" xfId="0" applyFont="1" applyBorder="1"/>
    <xf numFmtId="0" fontId="56" fillId="0" borderId="0" xfId="0" applyFont="1"/>
    <xf numFmtId="0" fontId="52" fillId="0" borderId="10" xfId="0" applyFont="1" applyBorder="1"/>
    <xf numFmtId="0" fontId="57" fillId="0" borderId="4" xfId="2" applyFont="1" applyFill="1" applyBorder="1"/>
    <xf numFmtId="0" fontId="56" fillId="0" borderId="4" xfId="0" applyFont="1" applyBorder="1"/>
    <xf numFmtId="10" fontId="52" fillId="6" borderId="0" xfId="1" applyNumberFormat="1" applyFont="1" applyFill="1" applyBorder="1"/>
    <xf numFmtId="10" fontId="52" fillId="0" borderId="0" xfId="1" applyNumberFormat="1" applyFont="1" applyBorder="1"/>
    <xf numFmtId="0" fontId="56" fillId="6" borderId="7" xfId="0" applyFont="1" applyFill="1" applyBorder="1"/>
    <xf numFmtId="0" fontId="52" fillId="0" borderId="4" xfId="0" applyFont="1" applyBorder="1"/>
    <xf numFmtId="0" fontId="57" fillId="13" borderId="4" xfId="0" applyFont="1" applyFill="1" applyBorder="1"/>
    <xf numFmtId="3" fontId="52" fillId="13" borderId="0" xfId="0" applyNumberFormat="1" applyFont="1" applyFill="1"/>
    <xf numFmtId="3" fontId="52" fillId="13" borderId="10" xfId="0" applyNumberFormat="1" applyFont="1" applyFill="1" applyBorder="1"/>
    <xf numFmtId="0" fontId="56" fillId="0" borderId="4" xfId="0" applyFont="1" applyBorder="1" applyAlignment="1">
      <alignment wrapText="1"/>
    </xf>
    <xf numFmtId="0" fontId="56" fillId="17" borderId="4" xfId="0" applyFont="1" applyFill="1" applyBorder="1"/>
    <xf numFmtId="4" fontId="52" fillId="0" borderId="0" xfId="0" applyNumberFormat="1" applyFont="1"/>
    <xf numFmtId="4" fontId="52" fillId="17" borderId="0" xfId="0" applyNumberFormat="1" applyFont="1" applyFill="1"/>
    <xf numFmtId="4" fontId="52" fillId="0" borderId="10" xfId="0" applyNumberFormat="1" applyFont="1" applyBorder="1"/>
    <xf numFmtId="4" fontId="52" fillId="17" borderId="10" xfId="0" applyNumberFormat="1" applyFont="1" applyFill="1" applyBorder="1"/>
    <xf numFmtId="4" fontId="56" fillId="0" borderId="0" xfId="0" applyNumberFormat="1" applyFont="1"/>
    <xf numFmtId="4" fontId="56" fillId="17" borderId="0" xfId="0" applyNumberFormat="1" applyFont="1" applyFill="1"/>
    <xf numFmtId="0" fontId="61" fillId="14" borderId="0" xfId="0" applyFont="1" applyFill="1"/>
    <xf numFmtId="0" fontId="52" fillId="14" borderId="0" xfId="0" applyFont="1" applyFill="1"/>
    <xf numFmtId="0" fontId="56" fillId="14" borderId="0" xfId="0" applyFont="1" applyFill="1"/>
    <xf numFmtId="3" fontId="52" fillId="14" borderId="0" xfId="0" applyNumberFormat="1" applyFont="1" applyFill="1"/>
    <xf numFmtId="0" fontId="56" fillId="14" borderId="10" xfId="0" applyFont="1" applyFill="1" applyBorder="1"/>
    <xf numFmtId="0" fontId="52" fillId="14" borderId="10" xfId="0" applyFont="1" applyFill="1" applyBorder="1"/>
    <xf numFmtId="0" fontId="56" fillId="14" borderId="4" xfId="0" applyFont="1" applyFill="1" applyBorder="1" applyAlignment="1">
      <alignment wrapText="1"/>
    </xf>
    <xf numFmtId="0" fontId="56" fillId="14" borderId="4" xfId="0" applyFont="1" applyFill="1" applyBorder="1"/>
    <xf numFmtId="10" fontId="52" fillId="14" borderId="0" xfId="1" applyNumberFormat="1" applyFont="1" applyFill="1"/>
    <xf numFmtId="4" fontId="52" fillId="14" borderId="0" xfId="0" applyNumberFormat="1" applyFont="1" applyFill="1"/>
    <xf numFmtId="3" fontId="52" fillId="14" borderId="10" xfId="0" applyNumberFormat="1" applyFont="1" applyFill="1" applyBorder="1"/>
    <xf numFmtId="10" fontId="52" fillId="14" borderId="10" xfId="1" applyNumberFormat="1" applyFont="1" applyFill="1" applyBorder="1"/>
    <xf numFmtId="4" fontId="52" fillId="14" borderId="10" xfId="0" applyNumberFormat="1" applyFont="1" applyFill="1" applyBorder="1"/>
    <xf numFmtId="4" fontId="56" fillId="14" borderId="0" xfId="0" applyNumberFormat="1" applyFont="1" applyFill="1"/>
    <xf numFmtId="0" fontId="56" fillId="14" borderId="10" xfId="0" applyFont="1" applyFill="1" applyBorder="1" applyAlignment="1">
      <alignment wrapText="1"/>
    </xf>
    <xf numFmtId="0" fontId="57" fillId="0" borderId="10" xfId="4" applyFont="1" applyFill="1" applyBorder="1"/>
    <xf numFmtId="0" fontId="57" fillId="0" borderId="0" xfId="4" applyFont="1" applyFill="1" applyBorder="1"/>
    <xf numFmtId="0" fontId="18" fillId="0" borderId="0" xfId="3" applyFont="1" applyFill="1" applyBorder="1"/>
    <xf numFmtId="0" fontId="57" fillId="0" borderId="0" xfId="3" applyFont="1" applyFill="1" applyBorder="1"/>
    <xf numFmtId="4" fontId="18" fillId="0" borderId="0" xfId="3" applyNumberFormat="1" applyFont="1" applyFill="1" applyBorder="1"/>
    <xf numFmtId="0" fontId="57" fillId="0" borderId="10" xfId="3" applyFont="1" applyFill="1" applyBorder="1"/>
    <xf numFmtId="9" fontId="18" fillId="0" borderId="0" xfId="1" applyFont="1" applyFill="1" applyBorder="1"/>
    <xf numFmtId="0" fontId="52" fillId="12" borderId="0" xfId="0" applyFont="1" applyFill="1"/>
    <xf numFmtId="0" fontId="52" fillId="11" borderId="0" xfId="0" applyFont="1" applyFill="1"/>
    <xf numFmtId="15" fontId="56" fillId="0" borderId="4" xfId="0" applyNumberFormat="1" applyFont="1" applyBorder="1"/>
    <xf numFmtId="49" fontId="56" fillId="0" borderId="4" xfId="0" applyNumberFormat="1" applyFont="1" applyBorder="1" applyAlignment="1">
      <alignment horizontal="center"/>
    </xf>
    <xf numFmtId="0" fontId="56" fillId="0" borderId="0" xfId="37" applyFont="1" applyFill="1"/>
    <xf numFmtId="0" fontId="56" fillId="11" borderId="0" xfId="37" applyFont="1" applyFill="1"/>
    <xf numFmtId="3" fontId="52" fillId="11" borderId="0" xfId="37" applyNumberFormat="1" applyFont="1" applyFill="1"/>
    <xf numFmtId="3" fontId="52" fillId="0" borderId="0" xfId="37" applyNumberFormat="1" applyFont="1" applyFill="1"/>
    <xf numFmtId="0" fontId="56" fillId="12" borderId="0" xfId="37" applyFont="1" applyFill="1"/>
    <xf numFmtId="3" fontId="52" fillId="12" borderId="0" xfId="37" applyNumberFormat="1" applyFont="1" applyFill="1"/>
    <xf numFmtId="0" fontId="56" fillId="0" borderId="10" xfId="37" applyFont="1" applyFill="1" applyBorder="1"/>
    <xf numFmtId="3" fontId="52" fillId="0" borderId="10" xfId="37" applyNumberFormat="1" applyFont="1" applyFill="1" applyBorder="1"/>
    <xf numFmtId="3" fontId="56" fillId="0" borderId="0" xfId="37" applyNumberFormat="1" applyFont="1" applyFill="1"/>
    <xf numFmtId="0" fontId="52" fillId="0" borderId="7" xfId="0" applyFont="1" applyBorder="1"/>
    <xf numFmtId="3" fontId="56" fillId="6" borderId="7" xfId="0" applyNumberFormat="1" applyFont="1" applyFill="1" applyBorder="1"/>
    <xf numFmtId="0" fontId="52" fillId="6" borderId="7" xfId="0" applyFont="1" applyFill="1" applyBorder="1"/>
    <xf numFmtId="0" fontId="57" fillId="0" borderId="7" xfId="4" applyFont="1" applyFill="1" applyBorder="1"/>
    <xf numFmtId="0" fontId="57" fillId="0" borderId="7" xfId="4" applyFont="1" applyFill="1" applyBorder="1" applyAlignment="1">
      <alignment horizontal="left"/>
    </xf>
    <xf numFmtId="0" fontId="52" fillId="6" borderId="8" xfId="0" applyFont="1" applyFill="1" applyBorder="1"/>
    <xf numFmtId="0" fontId="56" fillId="6" borderId="0" xfId="0" applyFont="1" applyFill="1"/>
    <xf numFmtId="0" fontId="52" fillId="6" borderId="0" xfId="0" applyFont="1" applyFill="1"/>
    <xf numFmtId="3" fontId="52" fillId="6" borderId="0" xfId="0" applyNumberFormat="1" applyFont="1" applyFill="1"/>
    <xf numFmtId="0" fontId="56" fillId="11" borderId="8" xfId="0" applyFont="1" applyFill="1" applyBorder="1"/>
    <xf numFmtId="1" fontId="52" fillId="6" borderId="0" xfId="0" applyNumberFormat="1" applyFont="1" applyFill="1"/>
    <xf numFmtId="0" fontId="52" fillId="7" borderId="17" xfId="0" applyFont="1" applyFill="1" applyBorder="1"/>
    <xf numFmtId="3" fontId="56" fillId="7" borderId="7" xfId="0" applyNumberFormat="1" applyFont="1" applyFill="1" applyBorder="1"/>
    <xf numFmtId="0" fontId="56" fillId="7" borderId="7" xfId="0" applyFont="1" applyFill="1" applyBorder="1"/>
    <xf numFmtId="0" fontId="52" fillId="7" borderId="7" xfId="0" applyFont="1" applyFill="1" applyBorder="1"/>
    <xf numFmtId="3" fontId="52" fillId="7" borderId="7" xfId="0" applyNumberFormat="1" applyFont="1" applyFill="1" applyBorder="1"/>
    <xf numFmtId="3" fontId="56" fillId="6" borderId="0" xfId="0" applyNumberFormat="1" applyFont="1" applyFill="1"/>
    <xf numFmtId="0" fontId="56" fillId="7" borderId="0" xfId="0" applyFont="1" applyFill="1"/>
    <xf numFmtId="0" fontId="52" fillId="7" borderId="0" xfId="0" applyFont="1" applyFill="1"/>
    <xf numFmtId="0" fontId="18" fillId="0" borderId="0" xfId="4" applyFont="1" applyFill="1" applyBorder="1"/>
    <xf numFmtId="167" fontId="18" fillId="0" borderId="0" xfId="4" applyNumberFormat="1" applyFont="1" applyFill="1" applyBorder="1"/>
    <xf numFmtId="3" fontId="18" fillId="14" borderId="0" xfId="0" applyNumberFormat="1" applyFont="1" applyFill="1"/>
    <xf numFmtId="167" fontId="52" fillId="0" borderId="0" xfId="0" applyNumberFormat="1" applyFont="1"/>
    <xf numFmtId="0" fontId="57" fillId="0" borderId="0" xfId="2" applyFont="1" applyFill="1" applyBorder="1"/>
    <xf numFmtId="0" fontId="18" fillId="0" borderId="0" xfId="2" applyFont="1" applyFill="1" applyBorder="1"/>
    <xf numFmtId="4" fontId="18" fillId="0" borderId="0" xfId="0" applyNumberFormat="1" applyFont="1"/>
    <xf numFmtId="9" fontId="52" fillId="0" borderId="0" xfId="0" applyNumberFormat="1" applyFont="1"/>
    <xf numFmtId="168" fontId="52" fillId="0" borderId="0" xfId="1" applyNumberFormat="1" applyFont="1"/>
    <xf numFmtId="0" fontId="18" fillId="12" borderId="0" xfId="0" applyFont="1" applyFill="1"/>
    <xf numFmtId="168" fontId="18" fillId="12" borderId="0" xfId="1" applyNumberFormat="1" applyFont="1" applyFill="1"/>
    <xf numFmtId="0" fontId="18" fillId="11" borderId="0" xfId="0" applyFont="1" applyFill="1"/>
    <xf numFmtId="168" fontId="18" fillId="11" borderId="0" xfId="1" applyNumberFormat="1" applyFont="1" applyFill="1"/>
    <xf numFmtId="15" fontId="56" fillId="0" borderId="10" xfId="0" applyNumberFormat="1" applyFont="1" applyBorder="1"/>
    <xf numFmtId="0" fontId="56" fillId="0" borderId="10" xfId="0" applyFont="1" applyBorder="1" applyAlignment="1">
      <alignment horizontal="center"/>
    </xf>
    <xf numFmtId="0" fontId="57" fillId="11" borderId="0" xfId="0" applyFont="1" applyFill="1"/>
    <xf numFmtId="3" fontId="18" fillId="11" borderId="0" xfId="0" applyNumberFormat="1" applyFont="1" applyFill="1"/>
    <xf numFmtId="0" fontId="57" fillId="12" borderId="0" xfId="0" applyFont="1" applyFill="1"/>
    <xf numFmtId="3" fontId="18" fillId="12" borderId="0" xfId="0" applyNumberFormat="1" applyFont="1" applyFill="1"/>
    <xf numFmtId="0" fontId="57" fillId="0" borderId="0" xfId="0" applyFont="1"/>
    <xf numFmtId="0" fontId="56" fillId="0" borderId="7" xfId="0" applyFont="1" applyBorder="1"/>
    <xf numFmtId="3" fontId="52" fillId="0" borderId="7" xfId="32" applyNumberFormat="1" applyFont="1" applyBorder="1"/>
    <xf numFmtId="3" fontId="58" fillId="8" borderId="14" xfId="32" applyNumberFormat="1" applyFont="1" applyFill="1" applyBorder="1"/>
    <xf numFmtId="0" fontId="56" fillId="0" borderId="0" xfId="0" applyFont="1" applyAlignment="1">
      <alignment horizontal="right"/>
    </xf>
    <xf numFmtId="0" fontId="56" fillId="17" borderId="10" xfId="0" applyFont="1" applyFill="1" applyBorder="1"/>
    <xf numFmtId="0" fontId="56" fillId="9" borderId="0" xfId="36" applyFont="1"/>
    <xf numFmtId="3" fontId="52" fillId="9" borderId="0" xfId="36" applyNumberFormat="1" applyFont="1" applyBorder="1"/>
    <xf numFmtId="3" fontId="52" fillId="0" borderId="0" xfId="37" applyNumberFormat="1" applyFont="1" applyFill="1" applyBorder="1"/>
    <xf numFmtId="0" fontId="56" fillId="10" borderId="0" xfId="37" applyFont="1"/>
    <xf numFmtId="3" fontId="52" fillId="10" borderId="0" xfId="37" applyNumberFormat="1" applyFont="1" applyBorder="1"/>
    <xf numFmtId="3" fontId="56" fillId="10" borderId="0" xfId="37" applyNumberFormat="1" applyFont="1" applyBorder="1"/>
    <xf numFmtId="0" fontId="56" fillId="0" borderId="7" xfId="37" applyFont="1" applyFill="1" applyBorder="1"/>
    <xf numFmtId="3" fontId="52" fillId="0" borderId="7" xfId="0" applyNumberFormat="1" applyFont="1" applyBorder="1"/>
    <xf numFmtId="0" fontId="56" fillId="20" borderId="10" xfId="0" applyFont="1" applyFill="1" applyBorder="1"/>
    <xf numFmtId="3" fontId="52" fillId="0" borderId="0" xfId="36" applyNumberFormat="1" applyFont="1" applyFill="1" applyBorder="1"/>
    <xf numFmtId="3" fontId="52" fillId="12" borderId="0" xfId="36" applyNumberFormat="1" applyFont="1" applyFill="1" applyBorder="1"/>
    <xf numFmtId="3" fontId="56" fillId="20" borderId="16" xfId="35" applyNumberFormat="1" applyFont="1" applyFill="1" applyBorder="1"/>
    <xf numFmtId="0" fontId="64" fillId="0" borderId="0" xfId="0" applyFont="1"/>
    <xf numFmtId="0" fontId="64" fillId="0" borderId="10" xfId="0" applyFont="1" applyBorder="1"/>
    <xf numFmtId="4" fontId="52" fillId="0" borderId="0" xfId="37" applyNumberFormat="1" applyFont="1" applyFill="1"/>
    <xf numFmtId="168" fontId="52" fillId="0" borderId="0" xfId="1" applyNumberFormat="1" applyFont="1" applyFill="1"/>
    <xf numFmtId="49" fontId="56" fillId="0" borderId="10" xfId="0" applyNumberFormat="1" applyFont="1" applyBorder="1" applyAlignment="1">
      <alignment horizontal="center"/>
    </xf>
    <xf numFmtId="49" fontId="56" fillId="13" borderId="10" xfId="0" applyNumberFormat="1" applyFont="1" applyFill="1" applyBorder="1" applyAlignment="1">
      <alignment horizontal="center"/>
    </xf>
    <xf numFmtId="10" fontId="52" fillId="0" borderId="0" xfId="1" applyNumberFormat="1" applyFont="1" applyFill="1"/>
    <xf numFmtId="10" fontId="52" fillId="0" borderId="10" xfId="1" applyNumberFormat="1" applyFont="1" applyFill="1" applyBorder="1"/>
    <xf numFmtId="9" fontId="56" fillId="0" borderId="0" xfId="1" applyFont="1" applyFill="1"/>
    <xf numFmtId="3" fontId="56" fillId="13" borderId="0" xfId="0" applyNumberFormat="1" applyFont="1" applyFill="1"/>
    <xf numFmtId="0" fontId="56" fillId="0" borderId="0" xfId="37" applyFont="1" applyFill="1" applyBorder="1"/>
    <xf numFmtId="0" fontId="56" fillId="0" borderId="10" xfId="37" applyFont="1" applyFill="1" applyBorder="1" applyAlignment="1">
      <alignment wrapText="1"/>
    </xf>
    <xf numFmtId="0" fontId="56" fillId="17" borderId="10" xfId="37" applyFont="1" applyFill="1" applyBorder="1" applyAlignment="1">
      <alignment wrapText="1"/>
    </xf>
    <xf numFmtId="3" fontId="64" fillId="0" borderId="0" xfId="0" applyNumberFormat="1" applyFont="1"/>
    <xf numFmtId="49" fontId="57" fillId="0" borderId="0" xfId="4" applyNumberFormat="1" applyFont="1" applyFill="1" applyBorder="1"/>
    <xf numFmtId="3" fontId="57" fillId="0" borderId="0" xfId="4" applyNumberFormat="1" applyFont="1" applyFill="1" applyBorder="1"/>
    <xf numFmtId="167" fontId="64" fillId="0" borderId="0" xfId="0" applyNumberFormat="1" applyFont="1"/>
    <xf numFmtId="0" fontId="43" fillId="0" borderId="0" xfId="34" applyFont="1" applyFill="1" applyBorder="1"/>
    <xf numFmtId="0" fontId="57" fillId="0" borderId="7" xfId="0" applyFont="1" applyBorder="1"/>
    <xf numFmtId="3" fontId="18" fillId="0" borderId="0" xfId="2" applyNumberFormat="1" applyFont="1" applyFill="1" applyBorder="1" applyAlignment="1">
      <alignment horizontal="right"/>
    </xf>
    <xf numFmtId="3" fontId="56" fillId="0" borderId="7" xfId="32" applyNumberFormat="1" applyFont="1" applyBorder="1"/>
    <xf numFmtId="0" fontId="65" fillId="0" borderId="0" xfId="0" applyFont="1"/>
    <xf numFmtId="0" fontId="64" fillId="14" borderId="0" xfId="0" applyFont="1" applyFill="1" applyAlignment="1">
      <alignment wrapText="1"/>
    </xf>
    <xf numFmtId="167" fontId="18" fillId="0" borderId="0" xfId="3" applyNumberFormat="1" applyFont="1" applyFill="1" applyBorder="1"/>
    <xf numFmtId="0" fontId="64" fillId="14" borderId="0" xfId="0" applyFont="1" applyFill="1"/>
    <xf numFmtId="9" fontId="52" fillId="0" borderId="0" xfId="1" applyFont="1"/>
    <xf numFmtId="166" fontId="52" fillId="0" borderId="0" xfId="0" applyNumberFormat="1" applyFont="1"/>
    <xf numFmtId="3" fontId="52" fillId="17" borderId="0" xfId="0" applyNumberFormat="1" applyFont="1" applyFill="1"/>
    <xf numFmtId="166" fontId="52" fillId="0" borderId="10" xfId="0" applyNumberFormat="1" applyFont="1" applyBorder="1"/>
    <xf numFmtId="3" fontId="52" fillId="17" borderId="10" xfId="0" applyNumberFormat="1" applyFont="1" applyFill="1" applyBorder="1"/>
    <xf numFmtId="166" fontId="56" fillId="0" borderId="0" xfId="0" applyNumberFormat="1" applyFont="1"/>
    <xf numFmtId="3" fontId="56" fillId="17" borderId="0" xfId="0" applyNumberFormat="1" applyFont="1" applyFill="1"/>
    <xf numFmtId="0" fontId="61" fillId="0" borderId="0" xfId="0" applyFont="1"/>
    <xf numFmtId="3" fontId="57" fillId="0" borderId="0" xfId="0" applyNumberFormat="1" applyFont="1"/>
    <xf numFmtId="0" fontId="18" fillId="0" borderId="0" xfId="0" applyFont="1"/>
    <xf numFmtId="3" fontId="56" fillId="0" borderId="7" xfId="0" applyNumberFormat="1" applyFont="1" applyBorder="1"/>
    <xf numFmtId="0" fontId="56" fillId="17" borderId="10" xfId="0" applyFont="1" applyFill="1" applyBorder="1" applyAlignment="1">
      <alignment wrapText="1"/>
    </xf>
    <xf numFmtId="3" fontId="52" fillId="0" borderId="8" xfId="0" applyNumberFormat="1" applyFont="1" applyBorder="1"/>
    <xf numFmtId="10" fontId="26" fillId="0" borderId="19" xfId="1" applyNumberFormat="1" applyFont="1" applyBorder="1"/>
    <xf numFmtId="0" fontId="52" fillId="0" borderId="19" xfId="0" applyFont="1" applyBorder="1"/>
    <xf numFmtId="10" fontId="26" fillId="12" borderId="19" xfId="1" applyNumberFormat="1" applyFont="1" applyFill="1" applyBorder="1"/>
    <xf numFmtId="0" fontId="0" fillId="18" borderId="0" xfId="0" applyFill="1"/>
    <xf numFmtId="0" fontId="26" fillId="17" borderId="9" xfId="37" applyFont="1" applyFill="1" applyBorder="1" applyAlignment="1">
      <alignment wrapText="1"/>
    </xf>
    <xf numFmtId="0" fontId="26" fillId="17" borderId="20" xfId="37" applyFont="1" applyFill="1" applyBorder="1" applyAlignment="1">
      <alignment wrapText="1"/>
    </xf>
    <xf numFmtId="10" fontId="26" fillId="17" borderId="0" xfId="1" applyNumberFormat="1" applyFont="1" applyFill="1" applyBorder="1"/>
    <xf numFmtId="0" fontId="66" fillId="0" borderId="4" xfId="0" applyFont="1" applyBorder="1"/>
    <xf numFmtId="10" fontId="67" fillId="0" borderId="0" xfId="1" applyNumberFormat="1" applyFont="1"/>
    <xf numFmtId="0" fontId="18" fillId="0" borderId="21" xfId="4" applyFont="1" applyFill="1" applyBorder="1"/>
    <xf numFmtId="167" fontId="18" fillId="0" borderId="22" xfId="4" applyNumberFormat="1" applyFont="1" applyFill="1" applyBorder="1"/>
    <xf numFmtId="0" fontId="18" fillId="0" borderId="0" xfId="4" applyFont="1" applyFill="1" applyBorder="1" applyAlignment="1">
      <alignment horizontal="right"/>
    </xf>
    <xf numFmtId="0" fontId="70" fillId="0" borderId="10" xfId="0" applyFont="1" applyBorder="1"/>
    <xf numFmtId="0" fontId="70" fillId="0" borderId="10" xfId="0" applyFont="1" applyBorder="1" applyAlignment="1">
      <alignment horizontal="center"/>
    </xf>
    <xf numFmtId="3" fontId="71" fillId="11" borderId="0" xfId="0" applyNumberFormat="1" applyFont="1" applyFill="1"/>
    <xf numFmtId="3" fontId="71" fillId="0" borderId="0" xfId="0" applyNumberFormat="1" applyFont="1"/>
    <xf numFmtId="3" fontId="71" fillId="12" borderId="0" xfId="0" applyNumberFormat="1" applyFont="1" applyFill="1"/>
    <xf numFmtId="3" fontId="71" fillId="0" borderId="7" xfId="32" applyNumberFormat="1" applyFont="1" applyBorder="1"/>
    <xf numFmtId="0" fontId="72" fillId="0" borderId="0" xfId="0" applyFont="1"/>
    <xf numFmtId="3" fontId="73" fillId="0" borderId="10" xfId="0" applyNumberFormat="1" applyFont="1" applyBorder="1"/>
    <xf numFmtId="3" fontId="53" fillId="12" borderId="10" xfId="0" applyNumberFormat="1" applyFont="1" applyFill="1" applyBorder="1"/>
    <xf numFmtId="3" fontId="53" fillId="17" borderId="10" xfId="0" applyNumberFormat="1" applyFont="1" applyFill="1" applyBorder="1"/>
    <xf numFmtId="0" fontId="26" fillId="0" borderId="23" xfId="0" applyFont="1" applyBorder="1" applyAlignment="1">
      <alignment horizontal="center"/>
    </xf>
    <xf numFmtId="0" fontId="26" fillId="0" borderId="24" xfId="37" applyFont="1" applyFill="1" applyBorder="1" applyAlignment="1">
      <alignment wrapText="1"/>
    </xf>
    <xf numFmtId="10" fontId="26" fillId="0" borderId="23" xfId="1" applyNumberFormat="1" applyFont="1" applyFill="1" applyBorder="1"/>
    <xf numFmtId="0" fontId="52" fillId="0" borderId="23" xfId="0" applyFont="1" applyBorder="1"/>
    <xf numFmtId="0" fontId="56" fillId="22" borderId="0" xfId="0" applyFont="1" applyFill="1"/>
    <xf numFmtId="0" fontId="52" fillId="22" borderId="0" xfId="0" applyFont="1" applyFill="1"/>
    <xf numFmtId="4" fontId="18" fillId="22" borderId="0" xfId="3" applyNumberFormat="1" applyFont="1" applyFill="1" applyBorder="1"/>
    <xf numFmtId="4" fontId="57" fillId="21" borderId="0" xfId="4" applyNumberFormat="1" applyFont="1" applyFill="1" applyBorder="1"/>
    <xf numFmtId="0" fontId="56" fillId="21" borderId="0" xfId="0" applyFont="1" applyFill="1"/>
    <xf numFmtId="167" fontId="52" fillId="22" borderId="0" xfId="0" applyNumberFormat="1" applyFont="1" applyFill="1"/>
    <xf numFmtId="164" fontId="52" fillId="22" borderId="0" xfId="32" applyFont="1" applyFill="1"/>
    <xf numFmtId="9" fontId="52" fillId="22" borderId="0" xfId="1" applyFont="1" applyFill="1" applyBorder="1"/>
    <xf numFmtId="3" fontId="24" fillId="23" borderId="0" xfId="0" applyNumberFormat="1" applyFont="1" applyFill="1"/>
    <xf numFmtId="3" fontId="24" fillId="23" borderId="10" xfId="0" applyNumberFormat="1" applyFont="1" applyFill="1" applyBorder="1"/>
    <xf numFmtId="3" fontId="27" fillId="23" borderId="0" xfId="0" applyNumberFormat="1" applyFont="1" applyFill="1"/>
    <xf numFmtId="3" fontId="27" fillId="23" borderId="4" xfId="0" applyNumberFormat="1" applyFont="1" applyFill="1" applyBorder="1"/>
    <xf numFmtId="0" fontId="26" fillId="21" borderId="0" xfId="0" applyFont="1" applyFill="1"/>
    <xf numFmtId="0" fontId="10" fillId="0" borderId="0" xfId="54"/>
    <xf numFmtId="10" fontId="52" fillId="0" borderId="19" xfId="1" applyNumberFormat="1" applyFont="1" applyBorder="1"/>
    <xf numFmtId="10" fontId="53" fillId="17" borderId="10" xfId="1" applyNumberFormat="1" applyFont="1" applyFill="1" applyBorder="1"/>
    <xf numFmtId="9" fontId="53" fillId="0" borderId="20" xfId="1" applyFont="1" applyBorder="1"/>
    <xf numFmtId="10" fontId="53" fillId="12" borderId="20" xfId="1" applyNumberFormat="1" applyFont="1" applyFill="1" applyBorder="1"/>
    <xf numFmtId="10" fontId="53" fillId="0" borderId="20" xfId="1" applyNumberFormat="1" applyFont="1" applyBorder="1"/>
    <xf numFmtId="3" fontId="53" fillId="0" borderId="10" xfId="0" applyNumberFormat="1" applyFont="1" applyBorder="1"/>
    <xf numFmtId="10" fontId="53" fillId="0" borderId="24" xfId="1" applyNumberFormat="1" applyFont="1" applyFill="1" applyBorder="1"/>
    <xf numFmtId="0" fontId="12" fillId="0" borderId="0" xfId="22"/>
    <xf numFmtId="0" fontId="37" fillId="0" borderId="0" xfId="0" applyFont="1"/>
    <xf numFmtId="4" fontId="56" fillId="7" borderId="0" xfId="0" applyNumberFormat="1" applyFont="1" applyFill="1"/>
    <xf numFmtId="4" fontId="52" fillId="17" borderId="0" xfId="36" applyNumberFormat="1" applyFont="1" applyFill="1" applyBorder="1"/>
    <xf numFmtId="4" fontId="56" fillId="17" borderId="16" xfId="35" applyNumberFormat="1" applyFont="1" applyFill="1" applyBorder="1"/>
    <xf numFmtId="4" fontId="52" fillId="20" borderId="0" xfId="36" applyNumberFormat="1" applyFont="1" applyFill="1" applyBorder="1"/>
    <xf numFmtId="4" fontId="52" fillId="17" borderId="0" xfId="37" applyNumberFormat="1" applyFont="1" applyFill="1"/>
    <xf numFmtId="4" fontId="56" fillId="17" borderId="0" xfId="37" applyNumberFormat="1" applyFont="1" applyFill="1"/>
    <xf numFmtId="4" fontId="52" fillId="17" borderId="10" xfId="37" applyNumberFormat="1" applyFont="1" applyFill="1" applyBorder="1"/>
    <xf numFmtId="4" fontId="18" fillId="0" borderId="0" xfId="2" applyNumberFormat="1" applyFont="1" applyFill="1" applyBorder="1" applyAlignment="1">
      <alignment horizontal="right"/>
    </xf>
    <xf numFmtId="4" fontId="57" fillId="0" borderId="7" xfId="2" applyNumberFormat="1" applyFont="1" applyFill="1" applyBorder="1" applyAlignment="1">
      <alignment horizontal="right"/>
    </xf>
    <xf numFmtId="4" fontId="56" fillId="7" borderId="7" xfId="0" applyNumberFormat="1" applyFont="1" applyFill="1" applyBorder="1"/>
    <xf numFmtId="0" fontId="8" fillId="0" borderId="0" xfId="0" applyFont="1"/>
    <xf numFmtId="3" fontId="52" fillId="0" borderId="0" xfId="62" applyNumberFormat="1" applyFont="1"/>
    <xf numFmtId="3" fontId="52" fillId="0" borderId="10" xfId="62" applyNumberFormat="1" applyFont="1" applyBorder="1"/>
    <xf numFmtId="49" fontId="57" fillId="0" borderId="10" xfId="2" applyNumberFormat="1" applyFont="1" applyFill="1" applyBorder="1" applyAlignment="1">
      <alignment horizontal="right"/>
    </xf>
    <xf numFmtId="49" fontId="57" fillId="0" borderId="10" xfId="0" applyNumberFormat="1" applyFont="1" applyBorder="1" applyAlignment="1">
      <alignment horizontal="left"/>
    </xf>
    <xf numFmtId="164" fontId="52" fillId="6" borderId="0" xfId="32" applyFont="1" applyFill="1"/>
    <xf numFmtId="14" fontId="74" fillId="0" borderId="0" xfId="38" applyNumberFormat="1" applyFont="1" applyFill="1"/>
    <xf numFmtId="4" fontId="64" fillId="0" borderId="0" xfId="0" applyNumberFormat="1" applyFont="1"/>
    <xf numFmtId="0" fontId="76" fillId="0" borderId="10" xfId="2" applyFont="1" applyFill="1" applyBorder="1"/>
    <xf numFmtId="4" fontId="77" fillId="0" borderId="0" xfId="0" applyNumberFormat="1" applyFont="1"/>
    <xf numFmtId="0" fontId="56" fillId="0" borderId="10" xfId="0" applyFont="1" applyBorder="1" applyAlignment="1">
      <alignment horizontal="right"/>
    </xf>
    <xf numFmtId="0" fontId="51" fillId="0" borderId="20" xfId="37" applyFont="1" applyFill="1" applyBorder="1" applyAlignment="1">
      <alignment wrapText="1"/>
    </xf>
    <xf numFmtId="3" fontId="78" fillId="0" borderId="0" xfId="0" applyNumberFormat="1" applyFont="1"/>
    <xf numFmtId="3" fontId="31" fillId="0" borderId="0" xfId="0" applyNumberFormat="1" applyFont="1"/>
    <xf numFmtId="0" fontId="79" fillId="0" borderId="0" xfId="38" applyFont="1"/>
    <xf numFmtId="0" fontId="26" fillId="6" borderId="0" xfId="37" applyFont="1" applyFill="1"/>
    <xf numFmtId="3" fontId="78" fillId="6" borderId="0" xfId="0" applyNumberFormat="1" applyFont="1" applyFill="1"/>
    <xf numFmtId="3" fontId="26" fillId="6" borderId="0" xfId="37" applyNumberFormat="1" applyFont="1" applyFill="1" applyBorder="1"/>
    <xf numFmtId="0" fontId="38" fillId="0" borderId="0" xfId="22" applyFont="1"/>
    <xf numFmtId="3" fontId="78" fillId="0" borderId="8" xfId="0" applyNumberFormat="1" applyFont="1" applyBorder="1"/>
    <xf numFmtId="3" fontId="31" fillId="0" borderId="8" xfId="0" applyNumberFormat="1" applyFont="1" applyBorder="1"/>
    <xf numFmtId="3" fontId="38" fillId="0" borderId="0" xfId="0" applyNumberFormat="1" applyFont="1"/>
    <xf numFmtId="3" fontId="78" fillId="0" borderId="9" xfId="0" applyNumberFormat="1" applyFont="1" applyBorder="1"/>
    <xf numFmtId="0" fontId="26" fillId="6" borderId="0" xfId="37" applyFont="1" applyFill="1" applyBorder="1"/>
    <xf numFmtId="3" fontId="31" fillId="6" borderId="0" xfId="0" applyNumberFormat="1" applyFont="1" applyFill="1"/>
    <xf numFmtId="9" fontId="26" fillId="6" borderId="0" xfId="1" applyFont="1" applyFill="1" applyBorder="1"/>
    <xf numFmtId="0" fontId="26" fillId="6" borderId="25" xfId="37" applyFont="1" applyFill="1" applyBorder="1"/>
    <xf numFmtId="3" fontId="78" fillId="6" borderId="25" xfId="0" applyNumberFormat="1" applyFont="1" applyFill="1" applyBorder="1"/>
    <xf numFmtId="168" fontId="18" fillId="0" borderId="0" xfId="1" applyNumberFormat="1" applyFont="1" applyFill="1" applyBorder="1"/>
    <xf numFmtId="168" fontId="52" fillId="12" borderId="0" xfId="0" applyNumberFormat="1" applyFont="1" applyFill="1"/>
    <xf numFmtId="168" fontId="52" fillId="11" borderId="0" xfId="1" applyNumberFormat="1" applyFont="1" applyFill="1"/>
    <xf numFmtId="0" fontId="64" fillId="24" borderId="0" xfId="0" applyFont="1" applyFill="1"/>
    <xf numFmtId="0" fontId="16" fillId="24" borderId="0" xfId="0" applyFont="1" applyFill="1"/>
    <xf numFmtId="0" fontId="0" fillId="24" borderId="0" xfId="0" applyFill="1"/>
    <xf numFmtId="2" fontId="18" fillId="0" borderId="0" xfId="4" applyNumberFormat="1" applyFont="1" applyFill="1" applyBorder="1" applyAlignment="1">
      <alignment horizontal="right"/>
    </xf>
    <xf numFmtId="0" fontId="18" fillId="6" borderId="21" xfId="4" applyFont="1" applyFill="1" applyBorder="1"/>
    <xf numFmtId="0" fontId="83" fillId="0" borderId="0" xfId="4" applyFont="1" applyFill="1" applyBorder="1"/>
    <xf numFmtId="49" fontId="83" fillId="0" borderId="0" xfId="4" applyNumberFormat="1" applyFont="1" applyFill="1" applyBorder="1"/>
    <xf numFmtId="0" fontId="84" fillId="0" borderId="0" xfId="0" applyFont="1"/>
    <xf numFmtId="0" fontId="84" fillId="0" borderId="10" xfId="0" applyFont="1" applyBorder="1"/>
    <xf numFmtId="0" fontId="83" fillId="0" borderId="0" xfId="4" applyFont="1" applyFill="1" applyBorder="1" applyAlignment="1">
      <alignment wrapText="1"/>
    </xf>
    <xf numFmtId="0" fontId="60" fillId="14" borderId="0" xfId="0" applyFont="1" applyFill="1"/>
    <xf numFmtId="4" fontId="0" fillId="0" borderId="0" xfId="0" applyNumberFormat="1"/>
    <xf numFmtId="0" fontId="85" fillId="0" borderId="0" xfId="0" applyFont="1" applyAlignment="1">
      <alignment wrapText="1"/>
    </xf>
    <xf numFmtId="0" fontId="85" fillId="0" borderId="0" xfId="0" applyFont="1"/>
    <xf numFmtId="0" fontId="86" fillId="0" borderId="0" xfId="0" applyFont="1" applyAlignment="1">
      <alignment wrapText="1"/>
    </xf>
    <xf numFmtId="0" fontId="86" fillId="0" borderId="0" xfId="0" applyFont="1"/>
    <xf numFmtId="166" fontId="52" fillId="14" borderId="0" xfId="0" applyNumberFormat="1" applyFont="1" applyFill="1"/>
    <xf numFmtId="0" fontId="6" fillId="0" borderId="0" xfId="0" applyFont="1"/>
    <xf numFmtId="0" fontId="60" fillId="0" borderId="10" xfId="0" applyFont="1" applyBorder="1"/>
    <xf numFmtId="2" fontId="18" fillId="0" borderId="7" xfId="0" applyNumberFormat="1" applyFont="1" applyBorder="1"/>
    <xf numFmtId="2" fontId="18" fillId="0" borderId="0" xfId="0" applyNumberFormat="1" applyFont="1"/>
    <xf numFmtId="169" fontId="37" fillId="6" borderId="0" xfId="0" applyNumberFormat="1" applyFont="1" applyFill="1"/>
    <xf numFmtId="0" fontId="62" fillId="0" borderId="4" xfId="0" applyFont="1" applyBorder="1"/>
    <xf numFmtId="3" fontId="18" fillId="0" borderId="10" xfId="0" applyNumberFormat="1" applyFont="1" applyBorder="1"/>
    <xf numFmtId="0" fontId="55" fillId="0" borderId="4" xfId="0" applyFont="1" applyBorder="1"/>
    <xf numFmtId="0" fontId="63" fillId="0" borderId="0" xfId="0" applyFont="1"/>
    <xf numFmtId="0" fontId="63" fillId="0" borderId="10" xfId="0" applyFont="1" applyBorder="1"/>
    <xf numFmtId="0" fontId="87" fillId="0" borderId="0" xfId="0" applyFont="1" applyAlignment="1">
      <alignment wrapText="1"/>
    </xf>
    <xf numFmtId="0" fontId="80" fillId="0" borderId="0" xfId="0" applyFont="1"/>
    <xf numFmtId="0" fontId="88" fillId="0" borderId="0" xfId="0" applyFont="1" applyAlignment="1">
      <alignment horizontal="left"/>
    </xf>
    <xf numFmtId="3" fontId="88" fillId="0" borderId="0" xfId="0" applyNumberFormat="1" applyFont="1" applyAlignment="1">
      <alignment horizontal="left"/>
    </xf>
    <xf numFmtId="4" fontId="89" fillId="0" borderId="0" xfId="0" applyNumberFormat="1" applyFont="1"/>
    <xf numFmtId="2" fontId="88" fillId="0" borderId="0" xfId="0" applyNumberFormat="1" applyFont="1"/>
    <xf numFmtId="4" fontId="88" fillId="0" borderId="0" xfId="0" applyNumberFormat="1" applyFont="1" applyAlignment="1">
      <alignment horizontal="left"/>
    </xf>
    <xf numFmtId="0" fontId="90" fillId="0" borderId="0" xfId="0" applyFont="1"/>
    <xf numFmtId="0" fontId="26" fillId="17" borderId="0" xfId="0" applyFont="1" applyFill="1" applyAlignment="1">
      <alignment wrapText="1"/>
    </xf>
    <xf numFmtId="0" fontId="26" fillId="17" borderId="0" xfId="65" applyFont="1" applyFill="1" applyAlignment="1">
      <alignment wrapText="1"/>
    </xf>
    <xf numFmtId="0" fontId="26" fillId="17" borderId="0" xfId="65" applyFont="1" applyFill="1"/>
    <xf numFmtId="0" fontId="26" fillId="0" borderId="0" xfId="65" applyFont="1" applyFill="1"/>
    <xf numFmtId="0" fontId="51" fillId="0" borderId="0" xfId="65" applyFont="1" applyFill="1"/>
    <xf numFmtId="3" fontId="53" fillId="12" borderId="0" xfId="0" applyNumberFormat="1" applyFont="1" applyFill="1"/>
    <xf numFmtId="0" fontId="26" fillId="0" borderId="7" xfId="65" applyFont="1" applyFill="1" applyBorder="1"/>
    <xf numFmtId="3" fontId="26" fillId="12" borderId="7" xfId="0" applyNumberFormat="1" applyFont="1" applyFill="1" applyBorder="1"/>
    <xf numFmtId="0" fontId="91" fillId="0" borderId="0" xfId="38" applyFont="1"/>
    <xf numFmtId="0" fontId="82" fillId="0" borderId="0" xfId="0" applyFont="1"/>
    <xf numFmtId="3" fontId="78" fillId="0" borderId="10" xfId="0" applyNumberFormat="1" applyFont="1" applyBorder="1"/>
    <xf numFmtId="3" fontId="0" fillId="0" borderId="10" xfId="0" applyNumberFormat="1" applyBorder="1"/>
    <xf numFmtId="3" fontId="53" fillId="19" borderId="10" xfId="0" applyNumberFormat="1" applyFont="1" applyFill="1" applyBorder="1"/>
    <xf numFmtId="3" fontId="26" fillId="19" borderId="0" xfId="0" applyNumberFormat="1" applyFont="1" applyFill="1"/>
    <xf numFmtId="3" fontId="80" fillId="0" borderId="0" xfId="0" applyNumberFormat="1" applyFont="1"/>
    <xf numFmtId="3" fontId="53" fillId="17" borderId="0" xfId="0" applyNumberFormat="1" applyFont="1" applyFill="1"/>
    <xf numFmtId="0" fontId="92" fillId="0" borderId="0" xfId="0" applyFont="1" applyAlignment="1">
      <alignment vertical="top" wrapText="1"/>
    </xf>
    <xf numFmtId="0" fontId="57" fillId="0" borderId="4" xfId="0" applyFont="1" applyBorder="1"/>
    <xf numFmtId="3" fontId="18" fillId="22" borderId="0" xfId="3" applyNumberFormat="1" applyFont="1" applyFill="1" applyBorder="1"/>
    <xf numFmtId="171" fontId="18" fillId="22" borderId="0" xfId="3" applyNumberFormat="1" applyFont="1" applyFill="1" applyBorder="1"/>
    <xf numFmtId="167" fontId="0" fillId="0" borderId="0" xfId="0" applyNumberFormat="1"/>
    <xf numFmtId="173" fontId="18" fillId="0" borderId="22" xfId="4" applyNumberFormat="1" applyFont="1" applyFill="1" applyBorder="1"/>
    <xf numFmtId="172" fontId="18" fillId="0" borderId="0" xfId="4" applyNumberFormat="1" applyFont="1" applyFill="1" applyBorder="1"/>
    <xf numFmtId="2" fontId="18" fillId="0" borderId="0" xfId="4" applyNumberFormat="1" applyFont="1" applyFill="1" applyBorder="1"/>
    <xf numFmtId="3" fontId="52" fillId="17" borderId="0" xfId="36" applyNumberFormat="1" applyFont="1" applyFill="1" applyBorder="1"/>
    <xf numFmtId="3" fontId="56" fillId="17" borderId="16" xfId="35" applyNumberFormat="1" applyFont="1" applyFill="1" applyBorder="1"/>
    <xf numFmtId="49" fontId="56" fillId="0" borderId="10" xfId="0" applyNumberFormat="1" applyFont="1" applyBorder="1" applyAlignment="1">
      <alignment horizontal="center" wrapText="1"/>
    </xf>
    <xf numFmtId="0" fontId="34" fillId="6" borderId="0" xfId="38" applyFill="1" applyBorder="1"/>
    <xf numFmtId="171" fontId="52" fillId="17" borderId="0" xfId="0" applyNumberFormat="1" applyFont="1" applyFill="1"/>
    <xf numFmtId="171" fontId="52" fillId="17" borderId="10" xfId="0" applyNumberFormat="1" applyFont="1" applyFill="1" applyBorder="1"/>
    <xf numFmtId="171" fontId="56" fillId="17" borderId="0" xfId="0" applyNumberFormat="1" applyFont="1" applyFill="1"/>
    <xf numFmtId="175" fontId="56" fillId="6" borderId="7" xfId="1" applyNumberFormat="1" applyFont="1" applyFill="1" applyBorder="1"/>
    <xf numFmtId="0" fontId="34" fillId="0" borderId="0" xfId="38" applyFill="1"/>
    <xf numFmtId="174" fontId="52" fillId="0" borderId="0" xfId="1" applyNumberFormat="1" applyFont="1"/>
    <xf numFmtId="174" fontId="52" fillId="0" borderId="10" xfId="1" applyNumberFormat="1" applyFont="1" applyBorder="1"/>
    <xf numFmtId="175" fontId="57" fillId="13" borderId="7" xfId="1" applyNumberFormat="1" applyFont="1" applyFill="1" applyBorder="1"/>
    <xf numFmtId="0" fontId="96" fillId="0" borderId="0" xfId="0" applyFont="1"/>
    <xf numFmtId="0" fontId="75" fillId="0" borderId="0" xfId="0" applyFont="1"/>
    <xf numFmtId="0" fontId="97" fillId="24" borderId="0" xfId="0" applyFont="1" applyFill="1"/>
    <xf numFmtId="0" fontId="98" fillId="24" borderId="0" xfId="0" applyFont="1" applyFill="1"/>
    <xf numFmtId="0" fontId="34" fillId="0" borderId="0" xfId="38"/>
    <xf numFmtId="0" fontId="88" fillId="0" borderId="0" xfId="0" applyFont="1"/>
    <xf numFmtId="3" fontId="100" fillId="0" borderId="0" xfId="0" applyNumberFormat="1" applyFont="1" applyAlignment="1">
      <alignment horizontal="right"/>
    </xf>
    <xf numFmtId="174" fontId="0" fillId="0" borderId="0" xfId="0" applyNumberFormat="1"/>
    <xf numFmtId="1" fontId="24" fillId="0" borderId="0" xfId="70" applyNumberFormat="1"/>
    <xf numFmtId="9" fontId="78" fillId="6" borderId="25" xfId="1" applyFont="1" applyFill="1" applyBorder="1"/>
    <xf numFmtId="3" fontId="78" fillId="6" borderId="25" xfId="1" applyNumberFormat="1" applyFont="1" applyFill="1" applyBorder="1"/>
    <xf numFmtId="9" fontId="86" fillId="6" borderId="0" xfId="0" applyNumberFormat="1" applyFont="1" applyFill="1"/>
    <xf numFmtId="3" fontId="73" fillId="0" borderId="0" xfId="0" applyNumberFormat="1" applyFont="1"/>
    <xf numFmtId="0" fontId="51" fillId="0" borderId="0" xfId="65" applyFont="1" applyFill="1" applyBorder="1"/>
    <xf numFmtId="2" fontId="0" fillId="0" borderId="0" xfId="0" applyNumberFormat="1"/>
    <xf numFmtId="0" fontId="57" fillId="6" borderId="0" xfId="4" applyFont="1" applyFill="1" applyBorder="1"/>
    <xf numFmtId="0" fontId="0" fillId="6" borderId="0" xfId="0" applyFill="1"/>
    <xf numFmtId="177" fontId="52" fillId="22" borderId="0" xfId="0" applyNumberFormat="1" applyFont="1" applyFill="1"/>
    <xf numFmtId="3" fontId="85" fillId="0" borderId="0" xfId="0" applyNumberFormat="1" applyFont="1"/>
    <xf numFmtId="4" fontId="85" fillId="0" borderId="0" xfId="0" applyNumberFormat="1" applyFont="1"/>
    <xf numFmtId="3" fontId="51" fillId="0" borderId="0" xfId="37" applyNumberFormat="1" applyFont="1" applyFill="1"/>
    <xf numFmtId="177" fontId="18" fillId="22" borderId="0" xfId="3" applyNumberFormat="1" applyFont="1" applyFill="1" applyBorder="1"/>
    <xf numFmtId="0" fontId="0" fillId="0" borderId="0" xfId="0" applyAlignment="1">
      <alignment vertical="top"/>
    </xf>
    <xf numFmtId="0" fontId="95" fillId="0" borderId="0" xfId="0" applyFont="1" applyAlignment="1">
      <alignment vertical="top"/>
    </xf>
    <xf numFmtId="10" fontId="52" fillId="0" borderId="10" xfId="1" applyNumberFormat="1" applyFont="1" applyBorder="1"/>
    <xf numFmtId="0" fontId="26" fillId="0" borderId="0" xfId="66" applyFont="1" applyAlignment="1">
      <alignment horizontal="center"/>
    </xf>
    <xf numFmtId="3" fontId="4" fillId="0" borderId="0" xfId="66" applyNumberFormat="1" applyAlignment="1">
      <alignment horizontal="center"/>
    </xf>
    <xf numFmtId="176" fontId="0" fillId="0" borderId="0" xfId="0" applyNumberFormat="1"/>
    <xf numFmtId="3" fontId="26" fillId="0" borderId="0" xfId="66" applyNumberFormat="1" applyFont="1" applyAlignment="1">
      <alignment horizontal="center"/>
    </xf>
    <xf numFmtId="49" fontId="57" fillId="0" borderId="0" xfId="0" applyNumberFormat="1" applyFont="1" applyAlignment="1">
      <alignment horizontal="right"/>
    </xf>
    <xf numFmtId="0" fontId="104" fillId="0" borderId="0" xfId="22" applyFont="1"/>
    <xf numFmtId="0" fontId="105" fillId="0" borderId="0" xfId="0" applyFont="1"/>
    <xf numFmtId="175" fontId="57" fillId="13" borderId="0" xfId="1" applyNumberFormat="1" applyFont="1" applyFill="1" applyBorder="1"/>
    <xf numFmtId="10" fontId="18" fillId="0" borderId="0" xfId="1" applyNumberFormat="1" applyFont="1" applyFill="1" applyBorder="1"/>
    <xf numFmtId="10" fontId="18" fillId="0" borderId="10" xfId="1" applyNumberFormat="1" applyFont="1" applyFill="1" applyBorder="1"/>
    <xf numFmtId="0" fontId="34" fillId="0" borderId="0" xfId="38" applyFill="1" applyBorder="1"/>
    <xf numFmtId="0" fontId="0" fillId="27" borderId="0" xfId="0" applyFill="1"/>
    <xf numFmtId="0" fontId="18" fillId="28" borderId="21" xfId="4" applyFont="1" applyFill="1" applyBorder="1"/>
    <xf numFmtId="173" fontId="18" fillId="28" borderId="22" xfId="4" applyNumberFormat="1" applyFont="1" applyFill="1" applyBorder="1"/>
    <xf numFmtId="0" fontId="57" fillId="28" borderId="0" xfId="4" applyFont="1" applyFill="1" applyBorder="1"/>
    <xf numFmtId="0" fontId="18" fillId="28" borderId="0" xfId="4" applyFont="1" applyFill="1" applyBorder="1" applyAlignment="1">
      <alignment horizontal="right"/>
    </xf>
    <xf numFmtId="2" fontId="18" fillId="28" borderId="0" xfId="4" applyNumberFormat="1" applyFont="1" applyFill="1" applyBorder="1" applyAlignment="1">
      <alignment horizontal="right"/>
    </xf>
    <xf numFmtId="2" fontId="18" fillId="28" borderId="0" xfId="4" applyNumberFormat="1" applyFont="1" applyFill="1" applyBorder="1"/>
    <xf numFmtId="0" fontId="56" fillId="28" borderId="0" xfId="0" applyFont="1" applyFill="1"/>
    <xf numFmtId="164" fontId="52" fillId="28" borderId="0" xfId="32" applyFont="1" applyFill="1"/>
    <xf numFmtId="0" fontId="0" fillId="28" borderId="0" xfId="0" applyFill="1"/>
    <xf numFmtId="167" fontId="18" fillId="28" borderId="0" xfId="4" applyNumberFormat="1" applyFont="1" applyFill="1" applyBorder="1"/>
    <xf numFmtId="172" fontId="18" fillId="28" borderId="0" xfId="4" applyNumberFormat="1" applyFont="1" applyFill="1" applyBorder="1"/>
    <xf numFmtId="0" fontId="52" fillId="28" borderId="0" xfId="0" applyFont="1" applyFill="1"/>
    <xf numFmtId="4" fontId="18" fillId="28" borderId="0" xfId="3" applyNumberFormat="1" applyFont="1" applyFill="1" applyBorder="1"/>
    <xf numFmtId="0" fontId="26" fillId="28" borderId="0" xfId="0" applyFont="1" applyFill="1"/>
    <xf numFmtId="3" fontId="57" fillId="28" borderId="0" xfId="4" applyNumberFormat="1" applyFont="1" applyFill="1" applyBorder="1"/>
    <xf numFmtId="0" fontId="0" fillId="12" borderId="0" xfId="0" applyFill="1"/>
    <xf numFmtId="0" fontId="0" fillId="29" borderId="26" xfId="0" applyFill="1" applyBorder="1"/>
    <xf numFmtId="0" fontId="0" fillId="29" borderId="27" xfId="0" applyFill="1" applyBorder="1"/>
    <xf numFmtId="2" fontId="88" fillId="29" borderId="27" xfId="0" applyNumberFormat="1" applyFont="1" applyFill="1" applyBorder="1"/>
    <xf numFmtId="0" fontId="64" fillId="29" borderId="26" xfId="0" applyFont="1" applyFill="1" applyBorder="1"/>
    <xf numFmtId="0" fontId="64" fillId="29" borderId="27" xfId="0" applyFont="1" applyFill="1" applyBorder="1"/>
    <xf numFmtId="170" fontId="64" fillId="29" borderId="27" xfId="0" applyNumberFormat="1" applyFont="1" applyFill="1" applyBorder="1"/>
    <xf numFmtId="3" fontId="18" fillId="29" borderId="27" xfId="0" applyNumberFormat="1" applyFont="1" applyFill="1" applyBorder="1"/>
    <xf numFmtId="173" fontId="18" fillId="6" borderId="22" xfId="4" applyNumberFormat="1" applyFont="1" applyFill="1" applyBorder="1"/>
    <xf numFmtId="164" fontId="52" fillId="0" borderId="0" xfId="32" applyFont="1" applyFill="1"/>
    <xf numFmtId="0" fontId="106" fillId="14" borderId="0" xfId="0" applyFont="1" applyFill="1"/>
    <xf numFmtId="0" fontId="0" fillId="14" borderId="0" xfId="0" applyFill="1"/>
    <xf numFmtId="174" fontId="0" fillId="0" borderId="0" xfId="1" applyNumberFormat="1" applyFont="1"/>
    <xf numFmtId="0" fontId="82" fillId="0" borderId="0" xfId="0" applyFont="1" applyAlignment="1">
      <alignment vertical="top"/>
    </xf>
    <xf numFmtId="3" fontId="86" fillId="0" borderId="0" xfId="0" applyNumberFormat="1" applyFont="1"/>
    <xf numFmtId="0" fontId="26" fillId="17" borderId="0" xfId="65" applyFont="1" applyFill="1" applyAlignment="1">
      <alignment horizontal="right"/>
    </xf>
    <xf numFmtId="0" fontId="82" fillId="0" borderId="0" xfId="0" applyFont="1" applyAlignment="1">
      <alignment horizontal="left" vertical="top" wrapText="1"/>
    </xf>
    <xf numFmtId="3" fontId="107" fillId="30" borderId="0" xfId="0" applyNumberFormat="1" applyFont="1" applyFill="1"/>
    <xf numFmtId="0" fontId="78" fillId="0" borderId="0" xfId="0" applyFont="1"/>
    <xf numFmtId="0" fontId="80" fillId="0" borderId="10" xfId="0" applyFont="1" applyBorder="1"/>
    <xf numFmtId="0" fontId="111" fillId="0" borderId="0" xfId="0" applyFont="1" applyAlignment="1">
      <alignment horizontal="left"/>
    </xf>
    <xf numFmtId="0" fontId="114" fillId="0" borderId="0" xfId="0" applyFont="1"/>
    <xf numFmtId="179" fontId="52" fillId="0" borderId="0" xfId="0" applyNumberFormat="1" applyFont="1"/>
    <xf numFmtId="14" fontId="36" fillId="0" borderId="0" xfId="0" quotePrefix="1" applyNumberFormat="1" applyFont="1"/>
    <xf numFmtId="0" fontId="56" fillId="17" borderId="4" xfId="0" applyFont="1" applyFill="1" applyBorder="1" applyAlignment="1">
      <alignment horizontal="right"/>
    </xf>
    <xf numFmtId="0" fontId="6" fillId="5" borderId="3" xfId="4" applyFont="1"/>
    <xf numFmtId="0" fontId="0" fillId="5" borderId="3" xfId="4" applyFont="1"/>
    <xf numFmtId="0" fontId="124" fillId="0" borderId="0" xfId="0" applyFont="1"/>
    <xf numFmtId="0" fontId="64" fillId="28" borderId="0" xfId="0" applyFont="1" applyFill="1"/>
    <xf numFmtId="0" fontId="0" fillId="28" borderId="0" xfId="0" applyFill="1" applyAlignment="1">
      <alignment wrapText="1"/>
    </xf>
    <xf numFmtId="0" fontId="56" fillId="0" borderId="10" xfId="0" applyFont="1" applyBorder="1" applyAlignment="1">
      <alignment horizontal="left" vertical="top"/>
    </xf>
    <xf numFmtId="0" fontId="125" fillId="0" borderId="0" xfId="0" applyFont="1"/>
    <xf numFmtId="3" fontId="29" fillId="0" borderId="0" xfId="0" applyNumberFormat="1" applyFont="1"/>
    <xf numFmtId="0" fontId="10" fillId="33" borderId="27" xfId="0" applyFont="1" applyFill="1" applyBorder="1"/>
    <xf numFmtId="0" fontId="55" fillId="25" borderId="4" xfId="0" applyFont="1" applyFill="1" applyBorder="1"/>
    <xf numFmtId="3" fontId="52" fillId="25" borderId="0" xfId="0" applyNumberFormat="1" applyFont="1" applyFill="1"/>
    <xf numFmtId="3" fontId="52" fillId="25" borderId="10" xfId="0" applyNumberFormat="1" applyFont="1" applyFill="1" applyBorder="1"/>
    <xf numFmtId="3" fontId="56" fillId="25" borderId="0" xfId="0" applyNumberFormat="1" applyFont="1" applyFill="1"/>
    <xf numFmtId="0" fontId="22" fillId="0" borderId="0" xfId="0" applyFont="1" applyAlignment="1">
      <alignment wrapText="1"/>
    </xf>
    <xf numFmtId="10" fontId="0" fillId="0" borderId="0" xfId="1" applyNumberFormat="1" applyFont="1"/>
    <xf numFmtId="168" fontId="126" fillId="0" borderId="0" xfId="1" applyNumberFormat="1" applyFont="1"/>
    <xf numFmtId="9" fontId="126" fillId="0" borderId="0" xfId="1" applyFont="1"/>
    <xf numFmtId="168" fontId="0" fillId="0" borderId="0" xfId="0" applyNumberFormat="1"/>
    <xf numFmtId="0" fontId="117" fillId="0" borderId="0" xfId="72" applyFont="1" applyFill="1" applyBorder="1"/>
    <xf numFmtId="0" fontId="118" fillId="0" borderId="0" xfId="0" applyFont="1" applyAlignment="1">
      <alignment horizontal="left" vertical="center" wrapText="1"/>
    </xf>
    <xf numFmtId="0" fontId="116" fillId="0" borderId="0" xfId="73" applyFill="1" applyBorder="1"/>
    <xf numFmtId="0" fontId="116" fillId="0" borderId="0" xfId="73" applyFill="1" applyBorder="1" applyAlignment="1">
      <alignment wrapText="1"/>
    </xf>
    <xf numFmtId="0" fontId="119" fillId="0" borderId="0" xfId="0" applyFont="1" applyAlignment="1">
      <alignment horizontal="left" vertical="center" wrapText="1"/>
    </xf>
    <xf numFmtId="3" fontId="120" fillId="0" borderId="0" xfId="0" applyNumberFormat="1" applyFont="1" applyAlignment="1">
      <alignment horizontal="right" vertical="center"/>
    </xf>
    <xf numFmtId="2" fontId="22" fillId="0" borderId="0" xfId="9" applyNumberFormat="1"/>
    <xf numFmtId="0" fontId="120" fillId="0" borderId="0" xfId="0" applyFont="1" applyAlignment="1">
      <alignment horizontal="right" vertical="center"/>
    </xf>
    <xf numFmtId="0" fontId="26" fillId="0" borderId="0" xfId="37" applyFont="1" applyFill="1" applyBorder="1" applyAlignment="1">
      <alignment wrapText="1"/>
    </xf>
    <xf numFmtId="3" fontId="53" fillId="0" borderId="0" xfId="0" applyNumberFormat="1" applyFont="1"/>
    <xf numFmtId="0" fontId="96" fillId="0" borderId="10" xfId="0" applyFont="1" applyBorder="1"/>
    <xf numFmtId="0" fontId="96" fillId="0" borderId="0" xfId="0" applyFont="1" applyAlignment="1">
      <alignment horizontal="right"/>
    </xf>
    <xf numFmtId="3" fontId="126" fillId="0" borderId="0" xfId="0" applyNumberFormat="1" applyFont="1"/>
    <xf numFmtId="4" fontId="126" fillId="0" borderId="0" xfId="0" applyNumberFormat="1" applyFont="1"/>
    <xf numFmtId="0" fontId="65" fillId="0" borderId="0" xfId="0" applyFont="1" applyAlignment="1">
      <alignment horizontal="left" vertical="top" wrapText="1"/>
    </xf>
    <xf numFmtId="49" fontId="26" fillId="0" borderId="0" xfId="37" applyNumberFormat="1" applyFont="1" applyFill="1" applyAlignment="1">
      <alignment wrapText="1"/>
    </xf>
    <xf numFmtId="0" fontId="117" fillId="6" borderId="0" xfId="72" applyFont="1" applyFill="1"/>
    <xf numFmtId="0" fontId="128" fillId="32" borderId="42" xfId="0" applyFont="1" applyFill="1" applyBorder="1" applyAlignment="1">
      <alignment horizontal="left" vertical="center" wrapText="1"/>
    </xf>
    <xf numFmtId="0" fontId="129" fillId="0" borderId="43" xfId="73" applyFont="1" applyBorder="1" applyAlignment="1">
      <alignment wrapText="1"/>
    </xf>
    <xf numFmtId="0" fontId="129" fillId="0" borderId="44" xfId="73" applyFont="1" applyBorder="1" applyAlignment="1">
      <alignment wrapText="1"/>
    </xf>
    <xf numFmtId="0" fontId="129" fillId="0" borderId="45" xfId="73" applyFont="1" applyBorder="1" applyAlignment="1">
      <alignment wrapText="1"/>
    </xf>
    <xf numFmtId="0" fontId="129" fillId="0" borderId="46" xfId="73" applyFont="1" applyBorder="1" applyAlignment="1">
      <alignment wrapText="1"/>
    </xf>
    <xf numFmtId="0" fontId="130" fillId="32" borderId="33" xfId="0" applyFont="1" applyFill="1" applyBorder="1" applyAlignment="1">
      <alignment horizontal="left" vertical="center" wrapText="1"/>
    </xf>
    <xf numFmtId="3" fontId="131" fillId="32" borderId="33" xfId="0" applyNumberFormat="1" applyFont="1" applyFill="1" applyBorder="1" applyAlignment="1">
      <alignment horizontal="right" vertical="center" wrapText="1"/>
    </xf>
    <xf numFmtId="4" fontId="132" fillId="6" borderId="34" xfId="0" applyNumberFormat="1" applyFont="1" applyFill="1" applyBorder="1"/>
    <xf numFmtId="3" fontId="132" fillId="6" borderId="34" xfId="0" applyNumberFormat="1" applyFont="1" applyFill="1" applyBorder="1"/>
    <xf numFmtId="168" fontId="133" fillId="6" borderId="0" xfId="1" applyNumberFormat="1" applyFont="1" applyFill="1" applyBorder="1"/>
    <xf numFmtId="3" fontId="134" fillId="6" borderId="34" xfId="0" applyNumberFormat="1" applyFont="1" applyFill="1" applyBorder="1"/>
    <xf numFmtId="0" fontId="135" fillId="32" borderId="33" xfId="0" applyFont="1" applyFill="1" applyBorder="1" applyAlignment="1">
      <alignment horizontal="left" vertical="center" wrapText="1"/>
    </xf>
    <xf numFmtId="4" fontId="134" fillId="6" borderId="34" xfId="0" applyNumberFormat="1" applyFont="1" applyFill="1" applyBorder="1"/>
    <xf numFmtId="168" fontId="136" fillId="6" borderId="0" xfId="1" applyNumberFormat="1" applyFont="1" applyFill="1" applyBorder="1"/>
    <xf numFmtId="0" fontId="135" fillId="32" borderId="47" xfId="0" applyFont="1" applyFill="1" applyBorder="1" applyAlignment="1">
      <alignment horizontal="left" vertical="center" wrapText="1"/>
    </xf>
    <xf numFmtId="3" fontId="131" fillId="32" borderId="47" xfId="0" applyNumberFormat="1" applyFont="1" applyFill="1" applyBorder="1" applyAlignment="1">
      <alignment horizontal="right" vertical="center" wrapText="1"/>
    </xf>
    <xf numFmtId="4" fontId="134" fillId="6" borderId="48" xfId="0" applyNumberFormat="1" applyFont="1" applyFill="1" applyBorder="1"/>
    <xf numFmtId="3" fontId="134" fillId="6" borderId="48" xfId="0" applyNumberFormat="1" applyFont="1" applyFill="1" applyBorder="1"/>
    <xf numFmtId="168" fontId="136" fillId="6" borderId="28" xfId="1" applyNumberFormat="1" applyFont="1" applyFill="1" applyBorder="1"/>
    <xf numFmtId="3" fontId="121" fillId="0" borderId="0" xfId="0" applyNumberFormat="1" applyFont="1" applyAlignment="1">
      <alignment horizontal="right" vertical="center"/>
    </xf>
    <xf numFmtId="0" fontId="26" fillId="0" borderId="0" xfId="35" applyFill="1" applyBorder="1"/>
    <xf numFmtId="3" fontId="26" fillId="0" borderId="0" xfId="35" applyNumberFormat="1" applyFill="1" applyBorder="1"/>
    <xf numFmtId="0" fontId="137" fillId="0" borderId="0" xfId="72" applyFont="1"/>
    <xf numFmtId="0" fontId="0" fillId="0" borderId="0" xfId="0" applyAlignment="1">
      <alignment horizontal="left" indent="1"/>
    </xf>
    <xf numFmtId="10" fontId="0" fillId="0" borderId="0" xfId="0" applyNumberFormat="1"/>
    <xf numFmtId="10" fontId="0" fillId="0" borderId="0" xfId="0" applyNumberFormat="1" applyAlignment="1">
      <alignment vertical="top"/>
    </xf>
    <xf numFmtId="0" fontId="34" fillId="0" borderId="0" xfId="38" applyAlignment="1">
      <alignment wrapText="1"/>
    </xf>
    <xf numFmtId="0" fontId="26" fillId="0" borderId="0" xfId="0" applyFont="1" applyAlignment="1">
      <alignment vertical="top" wrapText="1"/>
    </xf>
    <xf numFmtId="0" fontId="139" fillId="4" borderId="49" xfId="75" applyFill="1"/>
    <xf numFmtId="0" fontId="0" fillId="26" borderId="0" xfId="0" applyFill="1"/>
    <xf numFmtId="0" fontId="140" fillId="17" borderId="6" xfId="37" applyFont="1" applyFill="1" applyBorder="1" applyAlignment="1">
      <alignment wrapText="1"/>
    </xf>
    <xf numFmtId="3" fontId="140" fillId="0" borderId="37" xfId="0" applyNumberFormat="1" applyFont="1" applyBorder="1"/>
    <xf numFmtId="0" fontId="141" fillId="0" borderId="35" xfId="0" applyFont="1" applyBorder="1"/>
    <xf numFmtId="0" fontId="142" fillId="0" borderId="6" xfId="0" applyFont="1" applyBorder="1"/>
    <xf numFmtId="3" fontId="140" fillId="17" borderId="6" xfId="0" applyNumberFormat="1" applyFont="1" applyFill="1" applyBorder="1"/>
    <xf numFmtId="3" fontId="143" fillId="0" borderId="36" xfId="0" applyNumberFormat="1" applyFont="1" applyBorder="1"/>
    <xf numFmtId="4" fontId="22" fillId="0" borderId="0" xfId="9" applyNumberFormat="1"/>
    <xf numFmtId="9" fontId="144" fillId="0" borderId="0" xfId="1" applyFont="1" applyAlignment="1">
      <alignment horizontal="left"/>
    </xf>
    <xf numFmtId="0" fontId="26" fillId="0" borderId="0" xfId="37" applyFont="1" applyFill="1" applyAlignment="1">
      <alignment wrapText="1"/>
    </xf>
    <xf numFmtId="10" fontId="22" fillId="0" borderId="0" xfId="1" applyNumberFormat="1" applyFont="1"/>
    <xf numFmtId="0" fontId="145" fillId="0" borderId="0" xfId="0" applyFont="1"/>
    <xf numFmtId="0" fontId="33" fillId="13" borderId="0" xfId="0" applyFont="1" applyFill="1"/>
    <xf numFmtId="0" fontId="26" fillId="7" borderId="0" xfId="65" applyFont="1" applyFill="1"/>
    <xf numFmtId="0" fontId="61" fillId="11" borderId="0" xfId="0" applyFont="1" applyFill="1"/>
    <xf numFmtId="0" fontId="64" fillId="11" borderId="0" xfId="0" applyFont="1" applyFill="1"/>
    <xf numFmtId="0" fontId="0" fillId="11" borderId="0" xfId="0" applyFill="1"/>
    <xf numFmtId="3" fontId="101" fillId="17" borderId="6" xfId="0" applyNumberFormat="1" applyFont="1" applyFill="1" applyBorder="1"/>
    <xf numFmtId="3" fontId="53" fillId="17" borderId="36" xfId="0" applyNumberFormat="1" applyFont="1" applyFill="1" applyBorder="1"/>
    <xf numFmtId="3" fontId="26" fillId="12" borderId="51" xfId="0" applyNumberFormat="1" applyFont="1" applyFill="1" applyBorder="1"/>
    <xf numFmtId="3" fontId="53" fillId="17" borderId="6" xfId="0" applyNumberFormat="1" applyFont="1" applyFill="1" applyBorder="1"/>
    <xf numFmtId="0" fontId="123" fillId="17" borderId="50" xfId="65" applyFont="1" applyFill="1" applyBorder="1" applyAlignment="1">
      <alignment wrapText="1"/>
    </xf>
    <xf numFmtId="0" fontId="123" fillId="17" borderId="50" xfId="65" applyFont="1" applyFill="1" applyBorder="1" applyAlignment="1">
      <alignment horizontal="right" wrapText="1"/>
    </xf>
    <xf numFmtId="0" fontId="146" fillId="17" borderId="50" xfId="65" applyFont="1" applyFill="1" applyBorder="1" applyAlignment="1">
      <alignment horizontal="left" wrapText="1"/>
    </xf>
    <xf numFmtId="3" fontId="51" fillId="12" borderId="51" xfId="0" applyNumberFormat="1" applyFont="1" applyFill="1" applyBorder="1"/>
    <xf numFmtId="3" fontId="86" fillId="0" borderId="6" xfId="0" applyNumberFormat="1" applyFont="1" applyBorder="1"/>
    <xf numFmtId="3" fontId="147" fillId="0" borderId="6" xfId="0" applyNumberFormat="1" applyFont="1" applyBorder="1"/>
    <xf numFmtId="0" fontId="26" fillId="12" borderId="6" xfId="65" applyFont="1" applyFill="1" applyBorder="1" applyAlignment="1">
      <alignment horizontal="right"/>
    </xf>
    <xf numFmtId="0" fontId="51" fillId="12" borderId="6" xfId="65" applyFont="1" applyFill="1" applyBorder="1" applyAlignment="1">
      <alignment horizontal="right"/>
    </xf>
    <xf numFmtId="0" fontId="26" fillId="17" borderId="38" xfId="0" applyFont="1" applyFill="1" applyBorder="1" applyAlignment="1">
      <alignment wrapText="1"/>
    </xf>
    <xf numFmtId="0" fontId="26" fillId="17" borderId="32" xfId="65" applyFont="1" applyFill="1" applyBorder="1" applyAlignment="1">
      <alignment wrapText="1"/>
    </xf>
    <xf numFmtId="0" fontId="26" fillId="17" borderId="39" xfId="65" applyFont="1" applyFill="1" applyBorder="1" applyAlignment="1">
      <alignment wrapText="1"/>
    </xf>
    <xf numFmtId="0" fontId="26" fillId="0" borderId="52" xfId="65" applyFont="1" applyFill="1" applyBorder="1"/>
    <xf numFmtId="0" fontId="51" fillId="0" borderId="52" xfId="65" applyFont="1" applyFill="1" applyBorder="1"/>
    <xf numFmtId="3" fontId="53" fillId="12" borderId="53" xfId="0" applyNumberFormat="1" applyFont="1" applyFill="1" applyBorder="1"/>
    <xf numFmtId="0" fontId="26" fillId="0" borderId="54" xfId="65" applyFont="1" applyFill="1" applyBorder="1"/>
    <xf numFmtId="3" fontId="26" fillId="12" borderId="31" xfId="0" applyNumberFormat="1" applyFont="1" applyFill="1" applyBorder="1"/>
    <xf numFmtId="3" fontId="26" fillId="12" borderId="55" xfId="0" applyNumberFormat="1" applyFont="1" applyFill="1" applyBorder="1"/>
    <xf numFmtId="0" fontId="33" fillId="6" borderId="0" xfId="0" applyFont="1" applyFill="1"/>
    <xf numFmtId="0" fontId="36" fillId="6" borderId="0" xfId="0" applyFont="1" applyFill="1"/>
    <xf numFmtId="0" fontId="34" fillId="6" borderId="0" xfId="38" applyFill="1"/>
    <xf numFmtId="0" fontId="96" fillId="6" borderId="0" xfId="0" applyFont="1" applyFill="1" applyAlignment="1">
      <alignment horizontal="right"/>
    </xf>
    <xf numFmtId="0" fontId="96" fillId="6" borderId="10" xfId="0" applyFont="1" applyFill="1" applyBorder="1"/>
    <xf numFmtId="0" fontId="141" fillId="6" borderId="35" xfId="0" applyFont="1" applyFill="1" applyBorder="1"/>
    <xf numFmtId="0" fontId="50" fillId="6" borderId="0" xfId="0" applyFont="1" applyFill="1"/>
    <xf numFmtId="0" fontId="90" fillId="6" borderId="0" xfId="0" applyFont="1" applyFill="1"/>
    <xf numFmtId="0" fontId="26" fillId="6" borderId="0" xfId="0" applyFont="1" applyFill="1"/>
    <xf numFmtId="0" fontId="142" fillId="6" borderId="6" xfId="0" applyFont="1" applyFill="1" applyBorder="1"/>
    <xf numFmtId="0" fontId="88" fillId="6" borderId="0" xfId="0" applyFont="1" applyFill="1"/>
    <xf numFmtId="0" fontId="26" fillId="12" borderId="37" xfId="65" applyFont="1" applyFill="1" applyBorder="1" applyAlignment="1">
      <alignment horizontal="right"/>
    </xf>
    <xf numFmtId="0" fontId="51" fillId="6" borderId="0" xfId="65" applyFont="1" applyFill="1" applyBorder="1" applyAlignment="1">
      <alignment horizontal="right"/>
    </xf>
    <xf numFmtId="3" fontId="53" fillId="6" borderId="10" xfId="0" applyNumberFormat="1" applyFont="1" applyFill="1" applyBorder="1"/>
    <xf numFmtId="3" fontId="143" fillId="6" borderId="36" xfId="0" applyNumberFormat="1" applyFont="1" applyFill="1" applyBorder="1"/>
    <xf numFmtId="0" fontId="87" fillId="6" borderId="0" xfId="0" applyFont="1" applyFill="1"/>
    <xf numFmtId="4" fontId="103" fillId="6" borderId="0" xfId="0" applyNumberFormat="1" applyFont="1" applyFill="1" applyAlignment="1">
      <alignment vertical="top"/>
    </xf>
    <xf numFmtId="0" fontId="122" fillId="6" borderId="0" xfId="0" applyFont="1" applyFill="1" applyAlignment="1">
      <alignment vertical="top"/>
    </xf>
    <xf numFmtId="0" fontId="95" fillId="6" borderId="0" xfId="0" applyFont="1" applyFill="1" applyAlignment="1">
      <alignment vertical="top"/>
    </xf>
    <xf numFmtId="3" fontId="102" fillId="6" borderId="0" xfId="0" applyNumberFormat="1" applyFont="1" applyFill="1"/>
    <xf numFmtId="0" fontId="103" fillId="6" borderId="0" xfId="0" applyFont="1" applyFill="1" applyAlignment="1">
      <alignment vertical="top"/>
    </xf>
    <xf numFmtId="0" fontId="91" fillId="6" borderId="0" xfId="38" applyFont="1" applyFill="1" applyAlignment="1"/>
    <xf numFmtId="0" fontId="85" fillId="6" borderId="0" xfId="0" applyFont="1" applyFill="1"/>
    <xf numFmtId="0" fontId="51" fillId="6" borderId="0" xfId="37" applyFont="1" applyFill="1"/>
    <xf numFmtId="3" fontId="85" fillId="6" borderId="0" xfId="0" applyNumberFormat="1" applyFont="1" applyFill="1"/>
    <xf numFmtId="3" fontId="28" fillId="6" borderId="0" xfId="33" applyNumberFormat="1" applyFill="1" applyBorder="1"/>
    <xf numFmtId="0" fontId="0" fillId="34" borderId="0" xfId="0" applyFill="1"/>
    <xf numFmtId="3" fontId="0" fillId="6" borderId="0" xfId="0" applyNumberFormat="1" applyFill="1"/>
    <xf numFmtId="0" fontId="148" fillId="35" borderId="38" xfId="0" applyFont="1" applyFill="1" applyBorder="1" applyAlignment="1">
      <alignment vertical="center"/>
    </xf>
    <xf numFmtId="0" fontId="24" fillId="36" borderId="0" xfId="0" applyFont="1" applyFill="1"/>
    <xf numFmtId="0" fontId="27" fillId="37" borderId="52" xfId="0" applyFont="1" applyFill="1" applyBorder="1"/>
    <xf numFmtId="0" fontId="27" fillId="37" borderId="0" xfId="0" applyFont="1" applyFill="1"/>
    <xf numFmtId="0" fontId="27" fillId="37" borderId="53" xfId="0" applyFont="1" applyFill="1" applyBorder="1"/>
    <xf numFmtId="0" fontId="148" fillId="35" borderId="17" xfId="0" applyFont="1" applyFill="1" applyBorder="1" applyAlignment="1">
      <alignment vertical="center"/>
    </xf>
    <xf numFmtId="0" fontId="55" fillId="35" borderId="7" xfId="0" applyFont="1" applyFill="1" applyBorder="1" applyAlignment="1">
      <alignment horizontal="right"/>
    </xf>
    <xf numFmtId="0" fontId="55" fillId="35" borderId="7" xfId="0" applyFont="1" applyFill="1" applyBorder="1" applyAlignment="1">
      <alignment horizontal="right" wrapText="1"/>
    </xf>
    <xf numFmtId="0" fontId="24" fillId="35" borderId="29" xfId="0" applyFont="1" applyFill="1" applyBorder="1"/>
    <xf numFmtId="0" fontId="114" fillId="35" borderId="8" xfId="0" applyFont="1" applyFill="1" applyBorder="1" applyAlignment="1">
      <alignment wrapText="1"/>
    </xf>
    <xf numFmtId="3" fontId="114" fillId="35" borderId="0" xfId="0" applyNumberFormat="1" applyFont="1" applyFill="1"/>
    <xf numFmtId="3" fontId="114" fillId="35" borderId="0" xfId="0" applyNumberFormat="1" applyFont="1" applyFill="1" applyAlignment="1">
      <alignment wrapText="1"/>
    </xf>
    <xf numFmtId="0" fontId="114" fillId="35" borderId="19" xfId="0" applyFont="1" applyFill="1" applyBorder="1"/>
    <xf numFmtId="0" fontId="114" fillId="35" borderId="0" xfId="0" applyFont="1" applyFill="1"/>
    <xf numFmtId="0" fontId="24" fillId="35" borderId="19" xfId="0" applyFont="1" applyFill="1" applyBorder="1"/>
    <xf numFmtId="0" fontId="114" fillId="35" borderId="9" xfId="0" applyFont="1" applyFill="1" applyBorder="1" applyAlignment="1">
      <alignment wrapText="1"/>
    </xf>
    <xf numFmtId="0" fontId="114" fillId="35" borderId="10" xfId="0" applyFont="1" applyFill="1" applyBorder="1"/>
    <xf numFmtId="3" fontId="114" fillId="35" borderId="10" xfId="0" applyNumberFormat="1" applyFont="1" applyFill="1" applyBorder="1"/>
    <xf numFmtId="0" fontId="55" fillId="35" borderId="8" xfId="0" applyFont="1" applyFill="1" applyBorder="1" applyAlignment="1">
      <alignment wrapText="1"/>
    </xf>
    <xf numFmtId="3" fontId="55" fillId="35" borderId="0" xfId="0" applyNumberFormat="1" applyFont="1" applyFill="1"/>
    <xf numFmtId="0" fontId="24" fillId="35" borderId="9" xfId="0" applyFont="1" applyFill="1" applyBorder="1"/>
    <xf numFmtId="0" fontId="24" fillId="35" borderId="10" xfId="0" applyFont="1" applyFill="1" applyBorder="1"/>
    <xf numFmtId="0" fontId="24" fillId="35" borderId="20" xfId="0" applyFont="1" applyFill="1" applyBorder="1"/>
    <xf numFmtId="0" fontId="114" fillId="38" borderId="38" xfId="0" applyFont="1" applyFill="1" applyBorder="1" applyAlignment="1">
      <alignment wrapText="1"/>
    </xf>
    <xf numFmtId="0" fontId="114" fillId="38" borderId="32" xfId="0" applyFont="1" applyFill="1" applyBorder="1"/>
    <xf numFmtId="0" fontId="24" fillId="38" borderId="39" xfId="0" applyFont="1" applyFill="1" applyBorder="1"/>
    <xf numFmtId="0" fontId="114" fillId="38" borderId="52" xfId="0" applyFont="1" applyFill="1" applyBorder="1" applyAlignment="1">
      <alignment wrapText="1"/>
    </xf>
    <xf numFmtId="0" fontId="114" fillId="38" borderId="0" xfId="0" applyFont="1" applyFill="1"/>
    <xf numFmtId="0" fontId="24" fillId="38" borderId="53" xfId="0" applyFont="1" applyFill="1" applyBorder="1"/>
    <xf numFmtId="3" fontId="114" fillId="38" borderId="0" xfId="0" applyNumberFormat="1" applyFont="1" applyFill="1"/>
    <xf numFmtId="0" fontId="55" fillId="38" borderId="52" xfId="0" applyFont="1" applyFill="1" applyBorder="1" applyAlignment="1">
      <alignment wrapText="1"/>
    </xf>
    <xf numFmtId="0" fontId="55" fillId="38" borderId="0" xfId="0" applyFont="1" applyFill="1"/>
    <xf numFmtId="3" fontId="55" fillId="38" borderId="0" xfId="0" applyNumberFormat="1" applyFont="1" applyFill="1"/>
    <xf numFmtId="0" fontId="114" fillId="38" borderId="52" xfId="0" applyFont="1" applyFill="1" applyBorder="1"/>
    <xf numFmtId="0" fontId="55" fillId="38" borderId="56" xfId="0" applyFont="1" applyFill="1" applyBorder="1"/>
    <xf numFmtId="3" fontId="55" fillId="38" borderId="10" xfId="0" applyNumberFormat="1" applyFont="1" applyFill="1" applyBorder="1"/>
    <xf numFmtId="0" fontId="24" fillId="38" borderId="40" xfId="0" applyFont="1" applyFill="1" applyBorder="1"/>
    <xf numFmtId="0" fontId="24" fillId="38" borderId="28" xfId="0" applyFont="1" applyFill="1" applyBorder="1"/>
    <xf numFmtId="0" fontId="24" fillId="38" borderId="41" xfId="0" applyFont="1" applyFill="1" applyBorder="1"/>
    <xf numFmtId="175" fontId="57" fillId="0" borderId="0" xfId="1" applyNumberFormat="1" applyFont="1" applyFill="1" applyBorder="1"/>
    <xf numFmtId="0" fontId="55" fillId="25" borderId="4" xfId="0" applyFont="1" applyFill="1" applyBorder="1" applyAlignment="1">
      <alignment horizontal="right"/>
    </xf>
    <xf numFmtId="3" fontId="0" fillId="28" borderId="0" xfId="0" applyNumberFormat="1" applyFill="1"/>
    <xf numFmtId="0" fontId="149" fillId="0" borderId="0" xfId="0" applyFont="1"/>
    <xf numFmtId="0" fontId="149" fillId="0" borderId="0" xfId="0" applyFont="1" applyAlignment="1">
      <alignment vertical="center" wrapText="1"/>
    </xf>
    <xf numFmtId="3" fontId="18" fillId="0" borderId="7" xfId="76" applyNumberFormat="1" applyFont="1" applyBorder="1"/>
    <xf numFmtId="3" fontId="18" fillId="0" borderId="0" xfId="76" applyNumberFormat="1" applyFont="1"/>
    <xf numFmtId="3" fontId="18" fillId="0" borderId="0" xfId="76" quotePrefix="1" applyNumberFormat="1" applyFont="1" applyAlignment="1">
      <alignment horizontal="right"/>
    </xf>
    <xf numFmtId="3" fontId="18" fillId="0" borderId="10" xfId="76" applyNumberFormat="1" applyFont="1" applyBorder="1"/>
    <xf numFmtId="3" fontId="52" fillId="0" borderId="7" xfId="76" applyNumberFormat="1" applyFont="1" applyBorder="1"/>
    <xf numFmtId="3" fontId="52" fillId="0" borderId="10" xfId="76" applyNumberFormat="1" applyFont="1" applyBorder="1"/>
    <xf numFmtId="0" fontId="3" fillId="0" borderId="0" xfId="76"/>
    <xf numFmtId="0" fontId="18" fillId="0" borderId="0" xfId="76" applyFont="1"/>
    <xf numFmtId="0" fontId="108" fillId="0" borderId="0" xfId="76" applyFont="1"/>
    <xf numFmtId="0" fontId="18" fillId="0" borderId="32" xfId="76" applyFont="1" applyBorder="1"/>
    <xf numFmtId="0" fontId="18" fillId="0" borderId="10" xfId="76" applyFont="1" applyBorder="1"/>
    <xf numFmtId="0" fontId="57" fillId="0" borderId="0" xfId="76" applyFont="1"/>
    <xf numFmtId="0" fontId="18" fillId="0" borderId="0" xfId="76" quotePrefix="1" applyFont="1" applyAlignment="1">
      <alignment horizontal="right"/>
    </xf>
    <xf numFmtId="3" fontId="52" fillId="0" borderId="0" xfId="76" applyNumberFormat="1" applyFont="1"/>
    <xf numFmtId="0" fontId="18" fillId="0" borderId="0" xfId="76" quotePrefix="1" applyFont="1"/>
    <xf numFmtId="3" fontId="57" fillId="0" borderId="0" xfId="76" applyNumberFormat="1" applyFont="1"/>
    <xf numFmtId="180" fontId="18" fillId="0" borderId="0" xfId="76" applyNumberFormat="1" applyFont="1"/>
    <xf numFmtId="0" fontId="57" fillId="0" borderId="28" xfId="76" applyFont="1" applyBorder="1"/>
    <xf numFmtId="0" fontId="113" fillId="0" borderId="0" xfId="76" applyFont="1"/>
    <xf numFmtId="0" fontId="18" fillId="0" borderId="32" xfId="76" applyFont="1" applyBorder="1" applyAlignment="1">
      <alignment horizontal="right"/>
    </xf>
    <xf numFmtId="0" fontId="18" fillId="0" borderId="10" xfId="76" applyFont="1" applyBorder="1" applyAlignment="1">
      <alignment horizontal="right"/>
    </xf>
    <xf numFmtId="17" fontId="18" fillId="0" borderId="10" xfId="76" quotePrefix="1" applyNumberFormat="1" applyFont="1" applyBorder="1" applyAlignment="1">
      <alignment horizontal="right"/>
    </xf>
    <xf numFmtId="0" fontId="52" fillId="0" borderId="10" xfId="76" applyFont="1" applyBorder="1" applyAlignment="1">
      <alignment horizontal="right"/>
    </xf>
    <xf numFmtId="17" fontId="52" fillId="0" borderId="10" xfId="76" quotePrefix="1" applyNumberFormat="1" applyFont="1" applyBorder="1" applyAlignment="1">
      <alignment horizontal="right"/>
    </xf>
    <xf numFmtId="180" fontId="18" fillId="0" borderId="28" xfId="76" applyNumberFormat="1" applyFont="1" applyBorder="1"/>
    <xf numFmtId="3" fontId="52" fillId="0" borderId="28" xfId="76" applyNumberFormat="1" applyFont="1" applyBorder="1"/>
    <xf numFmtId="180" fontId="18" fillId="0" borderId="0" xfId="76" applyNumberFormat="1" applyFont="1" applyAlignment="1">
      <alignment horizontal="right"/>
    </xf>
    <xf numFmtId="3" fontId="52" fillId="0" borderId="0" xfId="76" quotePrefix="1" applyNumberFormat="1" applyFont="1" applyAlignment="1">
      <alignment horizontal="right"/>
    </xf>
    <xf numFmtId="0" fontId="52" fillId="0" borderId="0" xfId="76" applyFont="1"/>
    <xf numFmtId="0" fontId="62" fillId="0" borderId="0" xfId="0" applyFont="1"/>
    <xf numFmtId="0" fontId="55" fillId="39" borderId="4" xfId="0" applyFont="1" applyFill="1" applyBorder="1"/>
    <xf numFmtId="0" fontId="114" fillId="39" borderId="0" xfId="0" applyFont="1" applyFill="1"/>
    <xf numFmtId="4" fontId="114" fillId="39" borderId="0" xfId="0" applyNumberFormat="1" applyFont="1" applyFill="1"/>
    <xf numFmtId="4" fontId="114" fillId="39" borderId="10" xfId="0" applyNumberFormat="1" applyFont="1" applyFill="1" applyBorder="1"/>
    <xf numFmtId="4" fontId="55" fillId="39" borderId="0" xfId="0" applyNumberFormat="1" applyFont="1" applyFill="1"/>
    <xf numFmtId="0" fontId="56" fillId="14" borderId="4" xfId="0" applyFont="1" applyFill="1" applyBorder="1" applyAlignment="1">
      <alignment horizontal="right" wrapText="1"/>
    </xf>
    <xf numFmtId="0" fontId="93" fillId="0" borderId="0" xfId="0" applyFont="1"/>
    <xf numFmtId="0" fontId="93" fillId="0" borderId="0" xfId="0" applyFont="1" applyAlignment="1">
      <alignment vertical="top" wrapText="1"/>
    </xf>
    <xf numFmtId="0" fontId="92" fillId="0" borderId="0" xfId="0" applyFont="1"/>
    <xf numFmtId="0" fontId="47" fillId="0" borderId="0" xfId="0" applyFont="1"/>
    <xf numFmtId="0" fontId="93" fillId="0" borderId="0" xfId="0" applyFont="1" applyAlignment="1">
      <alignment horizontal="right"/>
    </xf>
    <xf numFmtId="0" fontId="99" fillId="0" borderId="0" xfId="0" applyFont="1"/>
    <xf numFmtId="0" fontId="47" fillId="0" borderId="0" xfId="0" applyFont="1" applyAlignment="1">
      <alignment vertical="top" wrapText="1"/>
    </xf>
    <xf numFmtId="14" fontId="40" fillId="0" borderId="0" xfId="0" applyNumberFormat="1" applyFont="1"/>
    <xf numFmtId="14" fontId="40" fillId="0" borderId="0" xfId="0" applyNumberFormat="1" applyFont="1" applyAlignment="1">
      <alignment horizontal="right"/>
    </xf>
    <xf numFmtId="0" fontId="42" fillId="0" borderId="0" xfId="0" applyFont="1" applyAlignment="1">
      <alignment horizontal="right"/>
    </xf>
    <xf numFmtId="0" fontId="99" fillId="0" borderId="0" xfId="0" applyFont="1" applyAlignment="1">
      <alignment vertical="top" wrapText="1"/>
    </xf>
    <xf numFmtId="0" fontId="40" fillId="0" borderId="0" xfId="0" applyFont="1" applyAlignment="1">
      <alignment wrapText="1"/>
    </xf>
    <xf numFmtId="2" fontId="40" fillId="0" borderId="0" xfId="0" applyNumberFormat="1" applyFont="1" applyAlignment="1">
      <alignment horizontal="left"/>
    </xf>
    <xf numFmtId="2" fontId="109" fillId="0" borderId="0" xfId="0" applyNumberFormat="1" applyFont="1" applyAlignment="1">
      <alignment horizontal="left" vertical="top" wrapText="1"/>
    </xf>
    <xf numFmtId="0" fontId="109" fillId="0" borderId="0" xfId="0" applyFont="1" applyAlignment="1">
      <alignment horizontal="left" vertical="top" wrapText="1"/>
    </xf>
    <xf numFmtId="2" fontId="109" fillId="0" borderId="0" xfId="0" applyNumberFormat="1"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40" fillId="0" borderId="0" xfId="0" applyFont="1" applyAlignment="1">
      <alignment horizontal="center" vertical="top"/>
    </xf>
    <xf numFmtId="178" fontId="40" fillId="0" borderId="0" xfId="0" applyNumberFormat="1" applyFont="1" applyAlignment="1">
      <alignment horizontal="center" vertical="top"/>
    </xf>
    <xf numFmtId="0" fontId="40" fillId="0" borderId="0" xfId="0" applyFont="1" applyAlignment="1">
      <alignment vertical="top" wrapText="1"/>
    </xf>
    <xf numFmtId="3" fontId="40" fillId="0" borderId="0" xfId="0" applyNumberFormat="1" applyFont="1" applyAlignment="1">
      <alignment vertical="top"/>
    </xf>
    <xf numFmtId="168" fontId="40" fillId="0" borderId="0" xfId="71" applyNumberFormat="1" applyFont="1" applyBorder="1" applyAlignment="1">
      <alignment vertical="top"/>
    </xf>
    <xf numFmtId="168" fontId="40" fillId="0" borderId="0" xfId="71" applyNumberFormat="1" applyFont="1" applyBorder="1" applyAlignment="1">
      <alignment vertical="center"/>
    </xf>
    <xf numFmtId="0" fontId="109" fillId="0" borderId="0" xfId="0" applyFont="1" applyAlignment="1">
      <alignment horizontal="center" vertical="top" wrapText="1"/>
    </xf>
    <xf numFmtId="1" fontId="56" fillId="0" borderId="0" xfId="0" applyNumberFormat="1" applyFont="1"/>
    <xf numFmtId="1" fontId="56" fillId="0" borderId="0" xfId="0" applyNumberFormat="1" applyFont="1" applyAlignment="1">
      <alignment horizontal="right"/>
    </xf>
    <xf numFmtId="0" fontId="114" fillId="0" borderId="0" xfId="0" applyFont="1" applyAlignment="1">
      <alignment horizontal="right"/>
    </xf>
    <xf numFmtId="179" fontId="56" fillId="0" borderId="0" xfId="0" applyNumberFormat="1" applyFont="1"/>
    <xf numFmtId="172" fontId="55" fillId="0" borderId="0" xfId="0" applyNumberFormat="1" applyFont="1"/>
    <xf numFmtId="0" fontId="112" fillId="0" borderId="0" xfId="0" applyFont="1"/>
    <xf numFmtId="0" fontId="113" fillId="0" borderId="0" xfId="0" applyFont="1"/>
    <xf numFmtId="0" fontId="24" fillId="0" borderId="0" xfId="0" applyFont="1"/>
    <xf numFmtId="0" fontId="24" fillId="0" borderId="10" xfId="0" applyFont="1" applyBorder="1"/>
    <xf numFmtId="3" fontId="150" fillId="0" borderId="0" xfId="0" applyNumberFormat="1" applyFont="1"/>
    <xf numFmtId="3" fontId="114" fillId="0" borderId="10" xfId="0" applyNumberFormat="1" applyFont="1" applyBorder="1"/>
    <xf numFmtId="3" fontId="114" fillId="0" borderId="0" xfId="0" applyNumberFormat="1" applyFont="1"/>
    <xf numFmtId="0" fontId="89" fillId="0" borderId="0" xfId="0" applyFont="1"/>
    <xf numFmtId="3" fontId="114" fillId="39" borderId="0" xfId="0" applyNumberFormat="1" applyFont="1" applyFill="1"/>
    <xf numFmtId="3" fontId="114" fillId="39" borderId="10" xfId="0" applyNumberFormat="1" applyFont="1" applyFill="1" applyBorder="1"/>
    <xf numFmtId="3" fontId="55" fillId="0" borderId="7" xfId="0" applyNumberFormat="1" applyFont="1" applyBorder="1"/>
    <xf numFmtId="3" fontId="55" fillId="39" borderId="0" xfId="0" applyNumberFormat="1" applyFont="1" applyFill="1"/>
    <xf numFmtId="3" fontId="114" fillId="40" borderId="0" xfId="0" applyNumberFormat="1" applyFont="1" applyFill="1"/>
    <xf numFmtId="3" fontId="114" fillId="40" borderId="10" xfId="0" applyNumberFormat="1" applyFont="1" applyFill="1" applyBorder="1"/>
    <xf numFmtId="3" fontId="55" fillId="40" borderId="0" xfId="0" applyNumberFormat="1" applyFont="1" applyFill="1"/>
    <xf numFmtId="14" fontId="56" fillId="0" borderId="10" xfId="0" applyNumberFormat="1" applyFont="1" applyBorder="1"/>
    <xf numFmtId="0" fontId="27" fillId="39" borderId="0" xfId="0" applyFont="1" applyFill="1" applyAlignment="1">
      <alignment horizontal="center" vertical="center" wrapText="1"/>
    </xf>
    <xf numFmtId="49" fontId="26" fillId="17" borderId="0" xfId="37" applyNumberFormat="1" applyFont="1" applyFill="1" applyAlignment="1">
      <alignment horizontal="center" vertical="center" wrapText="1"/>
    </xf>
    <xf numFmtId="177" fontId="18" fillId="0" borderId="0" xfId="3" applyNumberFormat="1" applyFont="1" applyFill="1" applyBorder="1"/>
    <xf numFmtId="0" fontId="64" fillId="0" borderId="0" xfId="0" applyFont="1" applyAlignment="1">
      <alignment wrapText="1"/>
    </xf>
    <xf numFmtId="15" fontId="108" fillId="0" borderId="0" xfId="0" applyNumberFormat="1" applyFont="1"/>
    <xf numFmtId="49" fontId="108" fillId="0" borderId="0" xfId="0" applyNumberFormat="1" applyFont="1" applyAlignment="1">
      <alignment horizontal="center" wrapText="1"/>
    </xf>
    <xf numFmtId="49" fontId="108" fillId="0" borderId="0" xfId="0" applyNumberFormat="1" applyFont="1" applyAlignment="1">
      <alignment horizontal="center"/>
    </xf>
    <xf numFmtId="0" fontId="108" fillId="0" borderId="0" xfId="37" applyFont="1" applyFill="1" applyBorder="1"/>
    <xf numFmtId="3" fontId="72" fillId="0" borderId="0" xfId="37" applyNumberFormat="1" applyFont="1" applyFill="1" applyBorder="1"/>
    <xf numFmtId="3" fontId="108" fillId="0" borderId="0" xfId="0" applyNumberFormat="1" applyFont="1"/>
    <xf numFmtId="3" fontId="108" fillId="0" borderId="0" xfId="37" applyNumberFormat="1" applyFont="1" applyFill="1" applyBorder="1"/>
    <xf numFmtId="15" fontId="56" fillId="0" borderId="0" xfId="0" applyNumberFormat="1" applyFont="1"/>
    <xf numFmtId="49" fontId="56" fillId="0" borderId="0" xfId="0" applyNumberFormat="1" applyFont="1" applyAlignment="1">
      <alignment horizontal="center" wrapText="1"/>
    </xf>
    <xf numFmtId="49" fontId="56" fillId="0" borderId="0" xfId="0" applyNumberFormat="1" applyFont="1" applyAlignment="1">
      <alignment horizontal="center"/>
    </xf>
    <xf numFmtId="3" fontId="56" fillId="0" borderId="0" xfId="37" applyNumberFormat="1" applyFont="1" applyFill="1" applyBorder="1"/>
    <xf numFmtId="3" fontId="56" fillId="0" borderId="0" xfId="36" applyNumberFormat="1" applyFont="1" applyFill="1" applyBorder="1"/>
    <xf numFmtId="0" fontId="56" fillId="0" borderId="0" xfId="0" applyFont="1" applyAlignment="1">
      <alignment horizontal="center"/>
    </xf>
    <xf numFmtId="0" fontId="70" fillId="0" borderId="0" xfId="0" applyFont="1" applyAlignment="1">
      <alignment horizontal="center"/>
    </xf>
    <xf numFmtId="3" fontId="52" fillId="0" borderId="0" xfId="32" applyNumberFormat="1" applyFont="1" applyFill="1" applyBorder="1"/>
    <xf numFmtId="3" fontId="71" fillId="0" borderId="0" xfId="32" applyNumberFormat="1" applyFont="1" applyFill="1" applyBorder="1"/>
    <xf numFmtId="0" fontId="70" fillId="0" borderId="0" xfId="0" applyFont="1"/>
    <xf numFmtId="0" fontId="56" fillId="0" borderId="0" xfId="36" applyFont="1" applyFill="1" applyBorder="1"/>
    <xf numFmtId="3" fontId="56" fillId="0" borderId="0" xfId="35" applyNumberFormat="1" applyFont="1" applyFill="1" applyBorder="1"/>
    <xf numFmtId="0" fontId="0" fillId="0" borderId="0" xfId="0" applyAlignment="1">
      <alignment vertical="top" wrapText="1"/>
    </xf>
    <xf numFmtId="175" fontId="57" fillId="0" borderId="7" xfId="1" applyNumberFormat="1" applyFont="1" applyFill="1" applyBorder="1"/>
    <xf numFmtId="172" fontId="56" fillId="0" borderId="0" xfId="0" applyNumberFormat="1" applyFont="1"/>
    <xf numFmtId="1" fontId="0" fillId="0" borderId="0" xfId="0" applyNumberFormat="1"/>
    <xf numFmtId="0" fontId="151" fillId="0" borderId="0" xfId="0" applyFont="1"/>
    <xf numFmtId="0" fontId="115" fillId="0" borderId="0" xfId="72"/>
    <xf numFmtId="0" fontId="0" fillId="41" borderId="26" xfId="0" applyFill="1" applyBorder="1"/>
    <xf numFmtId="0" fontId="0" fillId="41" borderId="27" xfId="0" applyFill="1" applyBorder="1"/>
    <xf numFmtId="3" fontId="18" fillId="0" borderId="0" xfId="62" applyNumberFormat="1" applyFont="1"/>
    <xf numFmtId="3" fontId="18" fillId="0" borderId="0" xfId="62" quotePrefix="1" applyNumberFormat="1" applyFont="1" applyAlignment="1">
      <alignment horizontal="right"/>
    </xf>
    <xf numFmtId="3" fontId="18" fillId="0" borderId="10" xfId="62" applyNumberFormat="1" applyFont="1" applyBorder="1"/>
    <xf numFmtId="0" fontId="144" fillId="0" borderId="0" xfId="0" applyFont="1"/>
    <xf numFmtId="0" fontId="126" fillId="0" borderId="0" xfId="0" applyFont="1"/>
    <xf numFmtId="0" fontId="152" fillId="0" borderId="0" xfId="0" applyFont="1"/>
    <xf numFmtId="0" fontId="30" fillId="0" borderId="0" xfId="34"/>
    <xf numFmtId="3" fontId="24" fillId="39" borderId="0" xfId="0" applyNumberFormat="1" applyFont="1" applyFill="1"/>
    <xf numFmtId="0" fontId="26" fillId="0" borderId="0" xfId="37" applyFont="1" applyFill="1" applyBorder="1"/>
    <xf numFmtId="0" fontId="51" fillId="0" borderId="0" xfId="37" applyFont="1" applyFill="1" applyBorder="1"/>
    <xf numFmtId="3" fontId="138" fillId="0" borderId="0" xfId="74" applyNumberFormat="1" applyFill="1" applyBorder="1"/>
    <xf numFmtId="3" fontId="107" fillId="0" borderId="0" xfId="0" applyNumberFormat="1" applyFont="1"/>
    <xf numFmtId="49" fontId="26" fillId="17" borderId="0" xfId="37" applyNumberFormat="1" applyFont="1" applyFill="1" applyAlignment="1">
      <alignment horizontal="right" wrapText="1"/>
    </xf>
    <xf numFmtId="0" fontId="0" fillId="0" borderId="58" xfId="0" applyBorder="1"/>
    <xf numFmtId="0" fontId="26" fillId="0" borderId="0" xfId="66" applyFont="1" applyAlignment="1">
      <alignment horizontal="left"/>
    </xf>
    <xf numFmtId="3" fontId="105" fillId="0" borderId="0" xfId="0" applyNumberFormat="1" applyFont="1"/>
    <xf numFmtId="0" fontId="153" fillId="0" borderId="0" xfId="38" applyFont="1"/>
    <xf numFmtId="0" fontId="0" fillId="42" borderId="0" xfId="0" applyFill="1"/>
    <xf numFmtId="0" fontId="26" fillId="42" borderId="0" xfId="0" applyFont="1" applyFill="1"/>
    <xf numFmtId="0" fontId="0" fillId="43" borderId="0" xfId="0" applyFill="1"/>
    <xf numFmtId="3" fontId="0" fillId="43" borderId="0" xfId="0" applyNumberFormat="1" applyFill="1"/>
    <xf numFmtId="181" fontId="0" fillId="0" borderId="0" xfId="0" applyNumberFormat="1"/>
    <xf numFmtId="0" fontId="94" fillId="44" borderId="0" xfId="0" applyFont="1" applyFill="1"/>
    <xf numFmtId="0" fontId="64" fillId="44" borderId="0" xfId="0" applyFont="1" applyFill="1"/>
    <xf numFmtId="0" fontId="102" fillId="0" borderId="0" xfId="0" applyFont="1"/>
    <xf numFmtId="0" fontId="154" fillId="0" borderId="0" xfId="0" applyFont="1"/>
    <xf numFmtId="0" fontId="102" fillId="6" borderId="0" xfId="0" applyFont="1" applyFill="1"/>
    <xf numFmtId="0" fontId="2" fillId="0" borderId="0" xfId="80" applyAlignment="1">
      <alignment vertical="top"/>
    </xf>
    <xf numFmtId="3" fontId="2" fillId="0" borderId="0" xfId="80" applyNumberFormat="1"/>
    <xf numFmtId="0" fontId="2" fillId="0" borderId="0" xfId="80"/>
    <xf numFmtId="3" fontId="29" fillId="0" borderId="0" xfId="80" applyNumberFormat="1" applyFont="1" applyAlignment="1">
      <alignment wrapText="1"/>
    </xf>
    <xf numFmtId="0" fontId="91" fillId="0" borderId="0" xfId="81"/>
    <xf numFmtId="3" fontId="29" fillId="0" borderId="0" xfId="80" applyNumberFormat="1" applyFont="1"/>
    <xf numFmtId="0" fontId="2" fillId="0" borderId="0" xfId="80" applyAlignment="1">
      <alignment wrapText="1"/>
    </xf>
    <xf numFmtId="0" fontId="2" fillId="0" borderId="0" xfId="80" applyAlignment="1">
      <alignment horizontal="left" indent="1"/>
    </xf>
    <xf numFmtId="0" fontId="2" fillId="0" borderId="15" xfId="35" applyFont="1"/>
    <xf numFmtId="3" fontId="2" fillId="0" borderId="15" xfId="35" applyNumberFormat="1" applyFont="1"/>
    <xf numFmtId="3" fontId="29" fillId="0" borderId="15" xfId="35" applyNumberFormat="1" applyFont="1"/>
    <xf numFmtId="168" fontId="2" fillId="0" borderId="0" xfId="80" applyNumberFormat="1"/>
    <xf numFmtId="168" fontId="29" fillId="0" borderId="0" xfId="80" applyNumberFormat="1" applyFont="1"/>
    <xf numFmtId="0" fontId="26" fillId="0" borderId="0" xfId="80" applyFont="1" applyAlignment="1">
      <alignment wrapText="1"/>
    </xf>
    <xf numFmtId="3" fontId="26" fillId="0" borderId="0" xfId="80" applyNumberFormat="1" applyFont="1"/>
    <xf numFmtId="3" fontId="156" fillId="0" borderId="0" xfId="80" applyNumberFormat="1" applyFont="1"/>
    <xf numFmtId="10" fontId="2" fillId="0" borderId="0" xfId="80" applyNumberFormat="1"/>
    <xf numFmtId="10" fontId="29" fillId="0" borderId="0" xfId="80" applyNumberFormat="1" applyFont="1"/>
    <xf numFmtId="10" fontId="2" fillId="0" borderId="0" xfId="80" applyNumberFormat="1" applyAlignment="1">
      <alignment vertical="top"/>
    </xf>
    <xf numFmtId="10" fontId="29" fillId="0" borderId="0" xfId="80" applyNumberFormat="1" applyFont="1" applyAlignment="1">
      <alignment vertical="top"/>
    </xf>
    <xf numFmtId="0" fontId="91" fillId="0" borderId="0" xfId="81" applyAlignment="1">
      <alignment wrapText="1"/>
    </xf>
    <xf numFmtId="0" fontId="29" fillId="0" borderId="0" xfId="80" applyFont="1"/>
    <xf numFmtId="0" fontId="26" fillId="0" borderId="0" xfId="80" applyFont="1" applyAlignment="1">
      <alignment vertical="top" wrapText="1"/>
    </xf>
    <xf numFmtId="0" fontId="26" fillId="0" borderId="0" xfId="80" applyFont="1"/>
    <xf numFmtId="176" fontId="2" fillId="0" borderId="0" xfId="80" applyNumberFormat="1"/>
    <xf numFmtId="0" fontId="2" fillId="6" borderId="0" xfId="80" applyFill="1"/>
    <xf numFmtId="0" fontId="116" fillId="6" borderId="0" xfId="73" applyFill="1"/>
    <xf numFmtId="0" fontId="2" fillId="45" borderId="17" xfId="79" applyBorder="1"/>
    <xf numFmtId="0" fontId="2" fillId="45" borderId="7" xfId="79" applyBorder="1"/>
    <xf numFmtId="0" fontId="2" fillId="45" borderId="29" xfId="79" applyBorder="1"/>
    <xf numFmtId="0" fontId="2" fillId="45" borderId="60" xfId="79" applyBorder="1"/>
    <xf numFmtId="0" fontId="2" fillId="45" borderId="0" xfId="79" applyBorder="1"/>
    <xf numFmtId="0" fontId="2" fillId="45" borderId="19" xfId="79" applyBorder="1"/>
    <xf numFmtId="0" fontId="2" fillId="45" borderId="8" xfId="79" applyBorder="1"/>
    <xf numFmtId="3" fontId="157" fillId="4" borderId="2" xfId="82" applyNumberFormat="1"/>
    <xf numFmtId="3" fontId="2" fillId="45" borderId="0" xfId="79" applyNumberFormat="1" applyBorder="1"/>
    <xf numFmtId="3" fontId="2" fillId="45" borderId="8" xfId="79" applyNumberFormat="1" applyBorder="1"/>
    <xf numFmtId="4" fontId="37" fillId="45" borderId="8" xfId="79" applyNumberFormat="1" applyFont="1" applyBorder="1"/>
    <xf numFmtId="4" fontId="2" fillId="45" borderId="0" xfId="79" applyNumberFormat="1" applyBorder="1"/>
    <xf numFmtId="0" fontId="2" fillId="45" borderId="9" xfId="79" applyBorder="1"/>
    <xf numFmtId="0" fontId="2" fillId="45" borderId="10" xfId="79" applyBorder="1"/>
    <xf numFmtId="0" fontId="2" fillId="45" borderId="20" xfId="79" applyBorder="1"/>
    <xf numFmtId="0" fontId="30" fillId="6" borderId="0" xfId="34" applyFill="1"/>
    <xf numFmtId="0" fontId="137" fillId="6" borderId="59" xfId="78" applyFont="1" applyFill="1"/>
    <xf numFmtId="0" fontId="158" fillId="6" borderId="0" xfId="80" applyFont="1" applyFill="1"/>
    <xf numFmtId="0" fontId="140" fillId="0" borderId="0" xfId="80" applyFont="1" applyAlignment="1">
      <alignment wrapText="1"/>
    </xf>
    <xf numFmtId="3" fontId="160" fillId="3" borderId="2" xfId="83" applyNumberFormat="1" applyFont="1"/>
    <xf numFmtId="0" fontId="140" fillId="0" borderId="0" xfId="80" applyFont="1" applyAlignment="1">
      <alignment horizontal="left" vertical="top" wrapText="1"/>
    </xf>
    <xf numFmtId="10" fontId="160" fillId="3" borderId="2" xfId="83" applyNumberFormat="1" applyFont="1"/>
    <xf numFmtId="10" fontId="160" fillId="3" borderId="2" xfId="83" applyNumberFormat="1" applyFont="1" applyAlignment="1">
      <alignment vertical="top"/>
    </xf>
    <xf numFmtId="3" fontId="23" fillId="6" borderId="0" xfId="80" applyNumberFormat="1" applyFont="1" applyFill="1" applyAlignment="1">
      <alignment horizontal="right"/>
    </xf>
    <xf numFmtId="4" fontId="160" fillId="3" borderId="2" xfId="83" applyNumberFormat="1" applyFont="1"/>
    <xf numFmtId="182" fontId="161" fillId="6" borderId="0" xfId="80" applyNumberFormat="1" applyFont="1" applyFill="1"/>
    <xf numFmtId="0" fontId="47" fillId="6" borderId="61" xfId="80" applyFont="1" applyFill="1" applyBorder="1"/>
    <xf numFmtId="0" fontId="47" fillId="46" borderId="61" xfId="80" applyFont="1" applyFill="1" applyBorder="1" applyAlignment="1">
      <alignment horizontal="center" vertical="center"/>
    </xf>
    <xf numFmtId="0" fontId="47" fillId="46" borderId="62" xfId="80" applyFont="1" applyFill="1" applyBorder="1" applyAlignment="1">
      <alignment horizontal="center" vertical="center"/>
    </xf>
    <xf numFmtId="0" fontId="47" fillId="6" borderId="13" xfId="80" applyFont="1" applyFill="1" applyBorder="1"/>
    <xf numFmtId="0" fontId="47" fillId="46" borderId="13" xfId="80" applyFont="1" applyFill="1" applyBorder="1" applyAlignment="1">
      <alignment horizontal="center" vertical="center"/>
    </xf>
    <xf numFmtId="0" fontId="47" fillId="6" borderId="18" xfId="80" applyFont="1" applyFill="1" applyBorder="1"/>
    <xf numFmtId="3" fontId="40" fillId="6" borderId="13" xfId="84" applyNumberFormat="1" applyFont="1" applyFill="1" applyBorder="1"/>
    <xf numFmtId="181" fontId="40" fillId="6" borderId="61" xfId="80" applyNumberFormat="1" applyFont="1" applyFill="1" applyBorder="1"/>
    <xf numFmtId="2" fontId="40" fillId="6" borderId="13" xfId="80" applyNumberFormat="1" applyFont="1" applyFill="1" applyBorder="1"/>
    <xf numFmtId="3" fontId="2" fillId="6" borderId="0" xfId="80" applyNumberFormat="1" applyFill="1"/>
    <xf numFmtId="4" fontId="2" fillId="0" borderId="0" xfId="80" applyNumberFormat="1"/>
    <xf numFmtId="181" fontId="2" fillId="0" borderId="0" xfId="80" applyNumberFormat="1"/>
    <xf numFmtId="181" fontId="40" fillId="6" borderId="13" xfId="80" applyNumberFormat="1" applyFont="1" applyFill="1" applyBorder="1"/>
    <xf numFmtId="181" fontId="40" fillId="6" borderId="18" xfId="80" applyNumberFormat="1" applyFont="1" applyFill="1" applyBorder="1"/>
    <xf numFmtId="3" fontId="40" fillId="6" borderId="61" xfId="84" applyNumberFormat="1" applyFont="1" applyFill="1" applyBorder="1"/>
    <xf numFmtId="181" fontId="40" fillId="6" borderId="19" xfId="80" applyNumberFormat="1" applyFont="1" applyFill="1" applyBorder="1"/>
    <xf numFmtId="3" fontId="42" fillId="6" borderId="18" xfId="84" applyNumberFormat="1" applyFont="1" applyFill="1" applyBorder="1"/>
    <xf numFmtId="181" fontId="42" fillId="6" borderId="20" xfId="84" applyNumberFormat="1" applyFont="1" applyFill="1" applyBorder="1" applyAlignment="1">
      <alignment horizontal="right"/>
    </xf>
    <xf numFmtId="3" fontId="2" fillId="0" borderId="0" xfId="80" applyNumberFormat="1" applyAlignment="1">
      <alignment horizontal="left" vertical="center"/>
    </xf>
    <xf numFmtId="0" fontId="2" fillId="0" borderId="0" xfId="0" applyFont="1"/>
    <xf numFmtId="14" fontId="2" fillId="0" borderId="0" xfId="0" applyNumberFormat="1" applyFont="1"/>
    <xf numFmtId="0" fontId="2" fillId="0" borderId="0" xfId="0" applyFont="1" applyAlignment="1">
      <alignment wrapText="1"/>
    </xf>
    <xf numFmtId="0" fontId="2" fillId="26" borderId="0" xfId="0" applyFont="1" applyFill="1"/>
    <xf numFmtId="0" fontId="2" fillId="25" borderId="0" xfId="0" applyFont="1" applyFill="1"/>
    <xf numFmtId="3" fontId="2" fillId="12" borderId="0" xfId="0" applyNumberFormat="1" applyFont="1" applyFill="1"/>
    <xf numFmtId="3" fontId="2" fillId="0" borderId="0" xfId="0" applyNumberFormat="1" applyFont="1"/>
    <xf numFmtId="3" fontId="2" fillId="12" borderId="53" xfId="0" applyNumberFormat="1" applyFont="1" applyFill="1" applyBorder="1"/>
    <xf numFmtId="3" fontId="2" fillId="17" borderId="0" xfId="0" applyNumberFormat="1" applyFont="1" applyFill="1"/>
    <xf numFmtId="0" fontId="2" fillId="6" borderId="0" xfId="0" applyFont="1" applyFill="1"/>
    <xf numFmtId="0" fontId="2" fillId="17" borderId="0" xfId="0" applyFont="1" applyFill="1" applyAlignment="1">
      <alignment wrapText="1"/>
    </xf>
    <xf numFmtId="3" fontId="2" fillId="19" borderId="0" xfId="0" applyNumberFormat="1" applyFont="1" applyFill="1"/>
    <xf numFmtId="3" fontId="2" fillId="0" borderId="10" xfId="0" applyNumberFormat="1" applyFont="1" applyBorder="1"/>
    <xf numFmtId="3" fontId="2" fillId="7" borderId="0" xfId="0" applyNumberFormat="1" applyFont="1" applyFill="1"/>
    <xf numFmtId="0" fontId="2" fillId="42" borderId="0" xfId="0" applyFont="1" applyFill="1"/>
    <xf numFmtId="0" fontId="2" fillId="0" borderId="10" xfId="0" applyFont="1" applyBorder="1"/>
    <xf numFmtId="3" fontId="2" fillId="6" borderId="0" xfId="37" applyNumberFormat="1" applyFont="1" applyFill="1"/>
    <xf numFmtId="9" fontId="2" fillId="6" borderId="0" xfId="1" applyFont="1" applyFill="1"/>
    <xf numFmtId="1" fontId="2" fillId="6" borderId="0" xfId="1" applyNumberFormat="1" applyFont="1" applyFill="1"/>
    <xf numFmtId="3" fontId="2" fillId="6" borderId="0" xfId="1" applyNumberFormat="1" applyFont="1" applyFill="1"/>
    <xf numFmtId="3" fontId="2" fillId="6" borderId="25" xfId="37" applyNumberFormat="1" applyFont="1" applyFill="1" applyBorder="1"/>
    <xf numFmtId="9" fontId="2" fillId="6" borderId="25" xfId="1" applyFont="1" applyFill="1" applyBorder="1"/>
    <xf numFmtId="0" fontId="2" fillId="17" borderId="10" xfId="0" applyFont="1" applyFill="1" applyBorder="1" applyAlignment="1">
      <alignment wrapText="1"/>
    </xf>
    <xf numFmtId="10" fontId="2" fillId="0" borderId="19" xfId="1" applyNumberFormat="1" applyFont="1" applyBorder="1"/>
    <xf numFmtId="3" fontId="2" fillId="0" borderId="0" xfId="12" applyNumberFormat="1" applyFont="1"/>
    <xf numFmtId="9" fontId="2" fillId="0" borderId="19" xfId="1" applyFont="1" applyBorder="1"/>
    <xf numFmtId="10" fontId="2" fillId="12" borderId="19" xfId="1" applyNumberFormat="1" applyFont="1" applyFill="1" applyBorder="1"/>
    <xf numFmtId="10" fontId="2" fillId="17" borderId="0" xfId="1" applyNumberFormat="1" applyFont="1" applyFill="1" applyBorder="1"/>
    <xf numFmtId="10" fontId="2" fillId="0" borderId="23" xfId="1" applyNumberFormat="1" applyFont="1" applyFill="1" applyBorder="1"/>
    <xf numFmtId="3" fontId="2" fillId="0" borderId="19" xfId="0" applyNumberFormat="1" applyFont="1" applyBorder="1"/>
    <xf numFmtId="3" fontId="2" fillId="0" borderId="0" xfId="12" applyNumberFormat="1" applyFont="1" applyBorder="1"/>
    <xf numFmtId="0" fontId="2" fillId="0" borderId="8" xfId="0" applyFont="1" applyBorder="1"/>
    <xf numFmtId="0" fontId="2" fillId="0" borderId="19" xfId="0" applyFont="1" applyBorder="1"/>
    <xf numFmtId="0" fontId="2" fillId="0" borderId="23" xfId="0" applyFont="1" applyBorder="1"/>
    <xf numFmtId="0" fontId="2" fillId="0" borderId="4" xfId="0" applyFont="1" applyBorder="1"/>
    <xf numFmtId="4" fontId="2" fillId="0" borderId="0" xfId="0" applyNumberFormat="1" applyFont="1"/>
    <xf numFmtId="4" fontId="2" fillId="0" borderId="10" xfId="0" applyNumberFormat="1" applyFont="1" applyBorder="1"/>
    <xf numFmtId="1" fontId="2" fillId="0" borderId="0" xfId="0" applyNumberFormat="1" applyFont="1"/>
    <xf numFmtId="0" fontId="2" fillId="0" borderId="0" xfId="0" quotePrefix="1" applyFont="1"/>
    <xf numFmtId="10" fontId="2" fillId="0" borderId="0" xfId="1" applyNumberFormat="1" applyFont="1"/>
    <xf numFmtId="10" fontId="2" fillId="0" borderId="0" xfId="0" applyNumberFormat="1" applyFont="1"/>
    <xf numFmtId="9" fontId="2" fillId="0" borderId="0" xfId="1" applyFont="1"/>
    <xf numFmtId="171" fontId="2" fillId="0" borderId="0" xfId="0" applyNumberFormat="1" applyFont="1"/>
    <xf numFmtId="0" fontId="2" fillId="5" borderId="57" xfId="4" applyFont="1" applyBorder="1"/>
    <xf numFmtId="0" fontId="2" fillId="21" borderId="0" xfId="0" applyFont="1" applyFill="1"/>
    <xf numFmtId="0" fontId="2" fillId="28" borderId="0" xfId="0" applyFont="1" applyFill="1"/>
    <xf numFmtId="0" fontId="2" fillId="33" borderId="26" xfId="0" applyFont="1" applyFill="1" applyBorder="1"/>
    <xf numFmtId="0" fontId="2" fillId="33" borderId="27" xfId="0" applyFont="1" applyFill="1" applyBorder="1"/>
    <xf numFmtId="0" fontId="2" fillId="13" borderId="0" xfId="0" applyFont="1" applyFill="1"/>
    <xf numFmtId="0" fontId="95" fillId="6" borderId="0" xfId="0" applyFont="1" applyFill="1" applyAlignment="1">
      <alignment horizontal="right"/>
    </xf>
    <xf numFmtId="3" fontId="52" fillId="14" borderId="63" xfId="0" applyNumberFormat="1" applyFont="1" applyFill="1" applyBorder="1"/>
    <xf numFmtId="10" fontId="134" fillId="0" borderId="0" xfId="0" applyNumberFormat="1" applyFont="1"/>
    <xf numFmtId="10" fontId="134" fillId="0" borderId="64" xfId="0" applyNumberFormat="1" applyFont="1" applyBorder="1"/>
    <xf numFmtId="3" fontId="78" fillId="7" borderId="0" xfId="0" applyNumberFormat="1" applyFont="1" applyFill="1"/>
    <xf numFmtId="0" fontId="165" fillId="32" borderId="66" xfId="85" applyFont="1" applyFill="1" applyBorder="1" applyAlignment="1">
      <alignment horizontal="right" vertical="center" wrapText="1"/>
    </xf>
    <xf numFmtId="0" fontId="1" fillId="0" borderId="0" xfId="85"/>
    <xf numFmtId="0" fontId="119" fillId="32" borderId="33" xfId="85" applyFont="1" applyFill="1" applyBorder="1" applyAlignment="1">
      <alignment horizontal="left" vertical="center" wrapText="1"/>
    </xf>
    <xf numFmtId="0" fontId="119" fillId="32" borderId="69" xfId="85" applyFont="1" applyFill="1" applyBorder="1" applyAlignment="1">
      <alignment horizontal="left" vertical="center" wrapText="1"/>
    </xf>
    <xf numFmtId="0" fontId="119" fillId="32" borderId="70" xfId="85" applyFont="1" applyFill="1" applyBorder="1" applyAlignment="1">
      <alignment horizontal="left" vertical="center" wrapText="1"/>
    </xf>
    <xf numFmtId="0" fontId="165" fillId="32" borderId="71" xfId="85" applyFont="1" applyFill="1" applyBorder="1" applyAlignment="1">
      <alignment horizontal="right" vertical="center" wrapText="1"/>
    </xf>
    <xf numFmtId="0" fontId="119" fillId="32" borderId="72" xfId="85" applyFont="1" applyFill="1" applyBorder="1" applyAlignment="1">
      <alignment horizontal="left" vertical="center" wrapText="1"/>
    </xf>
    <xf numFmtId="0" fontId="118" fillId="32" borderId="69" xfId="85" applyFont="1" applyFill="1" applyBorder="1" applyAlignment="1">
      <alignment horizontal="left" vertical="center" wrapText="1"/>
    </xf>
    <xf numFmtId="0" fontId="120" fillId="47" borderId="72" xfId="85" applyFont="1" applyFill="1" applyBorder="1" applyAlignment="1">
      <alignment horizontal="right" vertical="center" wrapText="1"/>
    </xf>
    <xf numFmtId="0" fontId="120" fillId="47" borderId="33" xfId="85" applyFont="1" applyFill="1" applyBorder="1" applyAlignment="1">
      <alignment horizontal="right" vertical="center" wrapText="1"/>
    </xf>
    <xf numFmtId="3" fontId="120" fillId="47" borderId="72" xfId="85" applyNumberFormat="1" applyFont="1" applyFill="1" applyBorder="1" applyAlignment="1">
      <alignment horizontal="right" vertical="center"/>
    </xf>
    <xf numFmtId="0" fontId="120" fillId="47" borderId="72" xfId="85" applyFont="1" applyFill="1" applyBorder="1" applyAlignment="1">
      <alignment horizontal="right" vertical="center"/>
    </xf>
    <xf numFmtId="0" fontId="120" fillId="47" borderId="33" xfId="85" applyFont="1" applyFill="1" applyBorder="1" applyAlignment="1">
      <alignment horizontal="right" vertical="center"/>
    </xf>
    <xf numFmtId="0" fontId="29" fillId="0" borderId="0" xfId="85" applyFont="1"/>
    <xf numFmtId="0" fontId="166" fillId="25" borderId="50" xfId="73" applyFont="1" applyFill="1" applyBorder="1"/>
    <xf numFmtId="0" fontId="117" fillId="25" borderId="26" xfId="72" applyFont="1" applyFill="1" applyBorder="1"/>
    <xf numFmtId="0" fontId="1" fillId="25" borderId="27" xfId="85" applyFill="1" applyBorder="1"/>
    <xf numFmtId="0" fontId="117" fillId="25" borderId="27" xfId="72" applyFont="1" applyFill="1" applyBorder="1"/>
    <xf numFmtId="0" fontId="117" fillId="25" borderId="65" xfId="72" applyFont="1" applyFill="1" applyBorder="1"/>
    <xf numFmtId="0" fontId="117" fillId="0" borderId="0" xfId="72" applyFont="1"/>
    <xf numFmtId="0" fontId="1" fillId="31" borderId="73" xfId="85" applyFill="1" applyBorder="1"/>
    <xf numFmtId="3" fontId="1" fillId="31" borderId="74" xfId="85" applyNumberFormat="1" applyFill="1" applyBorder="1"/>
    <xf numFmtId="0" fontId="118" fillId="32" borderId="66" xfId="85" applyFont="1" applyFill="1" applyBorder="1" applyAlignment="1">
      <alignment horizontal="left" vertical="center" wrapText="1"/>
    </xf>
    <xf numFmtId="0" fontId="116" fillId="0" borderId="75" xfId="73" applyBorder="1" applyAlignment="1">
      <alignment horizontal="left" vertical="center"/>
    </xf>
    <xf numFmtId="0" fontId="116" fillId="0" borderId="76" xfId="73" applyBorder="1" applyAlignment="1">
      <alignment horizontal="left" vertical="center" wrapText="1"/>
    </xf>
    <xf numFmtId="0" fontId="116" fillId="0" borderId="77" xfId="73" applyBorder="1" applyAlignment="1">
      <alignment wrapText="1"/>
    </xf>
    <xf numFmtId="0" fontId="167" fillId="31" borderId="77" xfId="73" applyFont="1" applyFill="1" applyBorder="1" applyAlignment="1">
      <alignment wrapText="1"/>
    </xf>
    <xf numFmtId="0" fontId="116" fillId="0" borderId="0" xfId="73" applyBorder="1" applyAlignment="1">
      <alignment wrapText="1"/>
    </xf>
    <xf numFmtId="0" fontId="118" fillId="32" borderId="77" xfId="85" applyFont="1" applyFill="1" applyBorder="1" applyAlignment="1">
      <alignment horizontal="left" vertical="center" wrapText="1"/>
    </xf>
    <xf numFmtId="0" fontId="116" fillId="0" borderId="77" xfId="73" applyBorder="1"/>
    <xf numFmtId="3" fontId="120" fillId="47" borderId="78" xfId="85" applyNumberFormat="1" applyFont="1" applyFill="1" applyBorder="1" applyAlignment="1">
      <alignment horizontal="right" vertical="center"/>
    </xf>
    <xf numFmtId="182" fontId="163" fillId="0" borderId="79" xfId="77" applyNumberFormat="1" applyFont="1" applyBorder="1"/>
    <xf numFmtId="3" fontId="120" fillId="47" borderId="79" xfId="85" applyNumberFormat="1" applyFont="1" applyFill="1" applyBorder="1" applyAlignment="1">
      <alignment horizontal="right" vertical="center"/>
    </xf>
    <xf numFmtId="2" fontId="168" fillId="0" borderId="80" xfId="77" applyNumberFormat="1" applyFont="1" applyBorder="1"/>
    <xf numFmtId="3" fontId="23" fillId="0" borderId="34" xfId="85" applyNumberFormat="1" applyFont="1" applyBorder="1"/>
    <xf numFmtId="4" fontId="23" fillId="11" borderId="34" xfId="85" applyNumberFormat="1" applyFont="1" applyFill="1" applyBorder="1"/>
    <xf numFmtId="3" fontId="1" fillId="0" borderId="0" xfId="85" applyNumberFormat="1"/>
    <xf numFmtId="3" fontId="136" fillId="0" borderId="34" xfId="86" applyNumberFormat="1" applyFont="1" applyBorder="1"/>
    <xf numFmtId="182" fontId="163" fillId="0" borderId="34" xfId="77" applyNumberFormat="1" applyFont="1" applyBorder="1"/>
    <xf numFmtId="3" fontId="134" fillId="0" borderId="34" xfId="85" applyNumberFormat="1" applyFont="1" applyBorder="1"/>
    <xf numFmtId="0" fontId="162" fillId="0" borderId="34" xfId="85" applyFont="1" applyBorder="1"/>
    <xf numFmtId="4" fontId="162" fillId="0" borderId="34" xfId="85" applyNumberFormat="1" applyFont="1" applyBorder="1"/>
    <xf numFmtId="3" fontId="120" fillId="47" borderId="81" xfId="85" applyNumberFormat="1" applyFont="1" applyFill="1" applyBorder="1" applyAlignment="1">
      <alignment horizontal="right" vertical="center"/>
    </xf>
    <xf numFmtId="182" fontId="136" fillId="0" borderId="82" xfId="77" applyNumberFormat="1" applyFont="1" applyBorder="1"/>
    <xf numFmtId="3" fontId="120" fillId="47" borderId="82" xfId="85" applyNumberFormat="1" applyFont="1" applyFill="1" applyBorder="1" applyAlignment="1">
      <alignment horizontal="right" vertical="center"/>
    </xf>
    <xf numFmtId="2" fontId="168" fillId="0" borderId="34" xfId="77" applyNumberFormat="1" applyFont="1" applyBorder="1"/>
    <xf numFmtId="0" fontId="23" fillId="0" borderId="34" xfId="85" applyFont="1" applyBorder="1"/>
    <xf numFmtId="182" fontId="136" fillId="0" borderId="34" xfId="77" applyNumberFormat="1" applyFont="1" applyBorder="1"/>
    <xf numFmtId="0" fontId="134" fillId="0" borderId="34" xfId="85" applyFont="1" applyBorder="1"/>
    <xf numFmtId="177" fontId="134" fillId="0" borderId="34" xfId="85" applyNumberFormat="1" applyFont="1" applyBorder="1"/>
    <xf numFmtId="0" fontId="120" fillId="47" borderId="81" xfId="85" applyFont="1" applyFill="1" applyBorder="1" applyAlignment="1">
      <alignment horizontal="right" vertical="center"/>
    </xf>
    <xf numFmtId="0" fontId="1" fillId="0" borderId="75" xfId="85" applyBorder="1"/>
    <xf numFmtId="3" fontId="1" fillId="0" borderId="83" xfId="85" applyNumberFormat="1" applyBorder="1"/>
    <xf numFmtId="0" fontId="169" fillId="47" borderId="81" xfId="85" applyFont="1" applyFill="1" applyBorder="1" applyAlignment="1">
      <alignment horizontal="right" vertical="center"/>
    </xf>
    <xf numFmtId="3" fontId="169" fillId="47" borderId="81" xfId="85" applyNumberFormat="1" applyFont="1" applyFill="1" applyBorder="1" applyAlignment="1">
      <alignment horizontal="right" vertical="center"/>
    </xf>
    <xf numFmtId="3" fontId="29" fillId="0" borderId="0" xfId="85" applyNumberFormat="1" applyFont="1"/>
    <xf numFmtId="3" fontId="136" fillId="28" borderId="34" xfId="86" applyNumberFormat="1" applyFont="1" applyFill="1" applyBorder="1" applyAlignment="1">
      <alignment horizontal="right"/>
    </xf>
    <xf numFmtId="177" fontId="1" fillId="0" borderId="0" xfId="85" applyNumberFormat="1"/>
    <xf numFmtId="0" fontId="120" fillId="47" borderId="84" xfId="85" applyFont="1" applyFill="1" applyBorder="1" applyAlignment="1">
      <alignment horizontal="right" vertical="center"/>
    </xf>
    <xf numFmtId="0" fontId="120" fillId="47" borderId="85" xfId="85" applyFont="1" applyFill="1" applyBorder="1" applyAlignment="1">
      <alignment horizontal="right" vertical="center"/>
    </xf>
    <xf numFmtId="2" fontId="23" fillId="0" borderId="85" xfId="85" applyNumberFormat="1" applyFont="1" applyBorder="1"/>
    <xf numFmtId="0" fontId="23" fillId="0" borderId="85" xfId="85" applyFont="1" applyBorder="1"/>
    <xf numFmtId="0" fontId="23" fillId="11" borderId="85" xfId="85" applyFont="1" applyFill="1" applyBorder="1"/>
    <xf numFmtId="3" fontId="120" fillId="47" borderId="86" xfId="85" applyNumberFormat="1" applyFont="1" applyFill="1" applyBorder="1" applyAlignment="1">
      <alignment horizontal="right" vertical="center"/>
    </xf>
    <xf numFmtId="2" fontId="1" fillId="0" borderId="85" xfId="85" applyNumberFormat="1" applyBorder="1"/>
    <xf numFmtId="0" fontId="1" fillId="0" borderId="85" xfId="85" applyBorder="1"/>
    <xf numFmtId="3" fontId="37" fillId="0" borderId="0" xfId="85" applyNumberFormat="1" applyFont="1"/>
    <xf numFmtId="0" fontId="1" fillId="31" borderId="0" xfId="85" applyFill="1"/>
    <xf numFmtId="3" fontId="1" fillId="31" borderId="0" xfId="85" applyNumberFormat="1" applyFill="1"/>
    <xf numFmtId="4" fontId="1" fillId="31" borderId="0" xfId="85" applyNumberFormat="1" applyFill="1"/>
    <xf numFmtId="0" fontId="26" fillId="31" borderId="15" xfId="35" applyFill="1"/>
    <xf numFmtId="3" fontId="26" fillId="31" borderId="15" xfId="35" applyNumberFormat="1" applyFill="1"/>
    <xf numFmtId="0" fontId="164" fillId="0" borderId="0" xfId="86" applyFont="1"/>
    <xf numFmtId="0" fontId="24" fillId="0" borderId="0" xfId="86"/>
    <xf numFmtId="0" fontId="27" fillId="0" borderId="0" xfId="86" applyFont="1"/>
    <xf numFmtId="1" fontId="24" fillId="0" borderId="0" xfId="86" applyNumberFormat="1"/>
    <xf numFmtId="0" fontId="24" fillId="0" borderId="0" xfId="86" applyAlignment="1">
      <alignment horizontal="right"/>
    </xf>
    <xf numFmtId="182" fontId="24" fillId="0" borderId="0" xfId="86" applyNumberFormat="1"/>
    <xf numFmtId="0" fontId="111" fillId="0" borderId="0" xfId="85" applyFont="1" applyAlignment="1">
      <alignment horizontal="left"/>
    </xf>
    <xf numFmtId="0" fontId="170" fillId="0" borderId="0" xfId="85" applyFont="1"/>
    <xf numFmtId="0" fontId="170" fillId="0" borderId="28" xfId="85" applyFont="1" applyBorder="1"/>
    <xf numFmtId="0" fontId="171" fillId="0" borderId="0" xfId="85" applyFont="1"/>
    <xf numFmtId="0" fontId="171" fillId="0" borderId="0" xfId="85" applyFont="1" applyAlignment="1">
      <alignment horizontal="center"/>
    </xf>
    <xf numFmtId="0" fontId="171" fillId="0" borderId="10" xfId="85" applyFont="1" applyBorder="1"/>
    <xf numFmtId="0" fontId="18" fillId="0" borderId="0" xfId="85" applyFont="1"/>
    <xf numFmtId="182" fontId="18" fillId="0" borderId="0" xfId="85" applyNumberFormat="1" applyFont="1"/>
    <xf numFmtId="0" fontId="80" fillId="0" borderId="0" xfId="85" applyFont="1"/>
    <xf numFmtId="0" fontId="78" fillId="0" borderId="0" xfId="85" applyFont="1"/>
    <xf numFmtId="0" fontId="62" fillId="0" borderId="28" xfId="85" applyFont="1" applyBorder="1"/>
    <xf numFmtId="0" fontId="57" fillId="0" borderId="28" xfId="85" applyFont="1" applyBorder="1"/>
    <xf numFmtId="182" fontId="57" fillId="0" borderId="28" xfId="85" applyNumberFormat="1" applyFont="1" applyBorder="1"/>
    <xf numFmtId="0" fontId="172" fillId="0" borderId="28" xfId="85" applyFont="1" applyBorder="1"/>
    <xf numFmtId="0" fontId="173" fillId="0" borderId="0" xfId="85" applyFont="1"/>
    <xf numFmtId="0" fontId="113" fillId="0" borderId="0" xfId="85" applyFont="1"/>
    <xf numFmtId="0" fontId="173" fillId="44" borderId="0" xfId="85" applyFont="1" applyFill="1"/>
    <xf numFmtId="0" fontId="170" fillId="44" borderId="0" xfId="85" applyFont="1" applyFill="1"/>
    <xf numFmtId="0" fontId="1" fillId="44" borderId="0" xfId="85" applyFill="1"/>
    <xf numFmtId="3" fontId="127" fillId="0" borderId="0" xfId="85" applyNumberFormat="1" applyFont="1" applyAlignment="1">
      <alignment vertical="center"/>
    </xf>
    <xf numFmtId="0" fontId="117" fillId="0" borderId="0" xfId="72" applyFont="1" applyFill="1"/>
    <xf numFmtId="0" fontId="1" fillId="0" borderId="87" xfId="85" applyBorder="1"/>
    <xf numFmtId="0" fontId="1" fillId="0" borderId="88" xfId="85" applyBorder="1"/>
    <xf numFmtId="0" fontId="26" fillId="0" borderId="0" xfId="35" applyBorder="1"/>
    <xf numFmtId="0" fontId="1" fillId="6" borderId="0" xfId="85" applyFill="1"/>
    <xf numFmtId="0" fontId="116" fillId="32" borderId="42" xfId="73" applyFill="1" applyBorder="1" applyAlignment="1">
      <alignment horizontal="left" vertical="center" wrapText="1"/>
    </xf>
    <xf numFmtId="0" fontId="116" fillId="0" borderId="43" xfId="73" applyBorder="1" applyAlignment="1">
      <alignment wrapText="1"/>
    </xf>
    <xf numFmtId="0" fontId="116" fillId="0" borderId="44" xfId="73" applyBorder="1" applyAlignment="1">
      <alignment wrapText="1"/>
    </xf>
    <xf numFmtId="0" fontId="116" fillId="0" borderId="45" xfId="73" applyBorder="1" applyAlignment="1">
      <alignment wrapText="1"/>
    </xf>
    <xf numFmtId="0" fontId="116" fillId="11" borderId="89" xfId="73" applyFill="1" applyBorder="1" applyAlignment="1">
      <alignment wrapText="1"/>
    </xf>
    <xf numFmtId="0" fontId="116" fillId="11" borderId="45" xfId="73" applyFill="1" applyBorder="1" applyAlignment="1">
      <alignment wrapText="1"/>
    </xf>
    <xf numFmtId="0" fontId="155" fillId="11" borderId="5" xfId="78" applyFill="1" applyBorder="1" applyAlignment="1">
      <alignment wrapText="1"/>
    </xf>
    <xf numFmtId="0" fontId="129" fillId="0" borderId="0" xfId="73" applyFont="1" applyFill="1" applyBorder="1" applyAlignment="1">
      <alignment wrapText="1"/>
    </xf>
    <xf numFmtId="0" fontId="130" fillId="32" borderId="33" xfId="85" applyFont="1" applyFill="1" applyBorder="1" applyAlignment="1">
      <alignment horizontal="left" vertical="center" wrapText="1"/>
    </xf>
    <xf numFmtId="3" fontId="131" fillId="32" borderId="33" xfId="85" applyNumberFormat="1" applyFont="1" applyFill="1" applyBorder="1" applyAlignment="1">
      <alignment horizontal="right" vertical="center" wrapText="1"/>
    </xf>
    <xf numFmtId="4" fontId="132" fillId="6" borderId="34" xfId="85" applyNumberFormat="1" applyFont="1" applyFill="1" applyBorder="1"/>
    <xf numFmtId="3" fontId="132" fillId="6" borderId="34" xfId="85" applyNumberFormat="1" applyFont="1" applyFill="1" applyBorder="1"/>
    <xf numFmtId="168" fontId="133" fillId="6" borderId="0" xfId="87" applyNumberFormat="1" applyFont="1" applyFill="1" applyBorder="1" applyAlignment="1">
      <alignment wrapText="1"/>
    </xf>
    <xf numFmtId="3" fontId="134" fillId="6" borderId="75" xfId="85" applyNumberFormat="1" applyFont="1" applyFill="1" applyBorder="1"/>
    <xf numFmtId="3" fontId="174" fillId="31" borderId="90" xfId="85" applyNumberFormat="1" applyFont="1" applyFill="1" applyBorder="1"/>
    <xf numFmtId="3" fontId="174" fillId="31" borderId="34" xfId="85" applyNumberFormat="1" applyFont="1" applyFill="1" applyBorder="1"/>
    <xf numFmtId="4" fontId="175" fillId="6" borderId="34" xfId="85" applyNumberFormat="1" applyFont="1" applyFill="1" applyBorder="1"/>
    <xf numFmtId="3" fontId="175" fillId="6" borderId="75" xfId="85" applyNumberFormat="1" applyFont="1" applyFill="1" applyBorder="1"/>
    <xf numFmtId="183" fontId="162" fillId="31" borderId="5" xfId="85" applyNumberFormat="1" applyFont="1" applyFill="1" applyBorder="1"/>
    <xf numFmtId="3" fontId="134" fillId="0" borderId="0" xfId="85" applyNumberFormat="1" applyFont="1"/>
    <xf numFmtId="0" fontId="135" fillId="32" borderId="33" xfId="85" applyFont="1" applyFill="1" applyBorder="1" applyAlignment="1">
      <alignment horizontal="left" vertical="center" wrapText="1"/>
    </xf>
    <xf numFmtId="4" fontId="134" fillId="6" borderId="34" xfId="85" applyNumberFormat="1" applyFont="1" applyFill="1" applyBorder="1"/>
    <xf numFmtId="3" fontId="134" fillId="6" borderId="34" xfId="85" applyNumberFormat="1" applyFont="1" applyFill="1" applyBorder="1"/>
    <xf numFmtId="168" fontId="136" fillId="6" borderId="0" xfId="87" applyNumberFormat="1" applyFont="1" applyFill="1" applyBorder="1" applyAlignment="1">
      <alignment wrapText="1"/>
    </xf>
    <xf numFmtId="4" fontId="174" fillId="6" borderId="34" xfId="85" applyNumberFormat="1" applyFont="1" applyFill="1" applyBorder="1"/>
    <xf numFmtId="3" fontId="174" fillId="6" borderId="75" xfId="85" applyNumberFormat="1" applyFont="1" applyFill="1" applyBorder="1"/>
    <xf numFmtId="183" fontId="162" fillId="31" borderId="6" xfId="85" applyNumberFormat="1" applyFont="1" applyFill="1" applyBorder="1"/>
    <xf numFmtId="0" fontId="135" fillId="32" borderId="47" xfId="85" applyFont="1" applyFill="1" applyBorder="1" applyAlignment="1">
      <alignment horizontal="left" vertical="center" wrapText="1"/>
    </xf>
    <xf numFmtId="3" fontId="131" fillId="32" borderId="47" xfId="85" applyNumberFormat="1" applyFont="1" applyFill="1" applyBorder="1" applyAlignment="1">
      <alignment horizontal="right" vertical="center" wrapText="1"/>
    </xf>
    <xf numFmtId="4" fontId="134" fillId="6" borderId="48" xfId="85" applyNumberFormat="1" applyFont="1" applyFill="1" applyBorder="1"/>
    <xf numFmtId="3" fontId="134" fillId="6" borderId="48" xfId="85" applyNumberFormat="1" applyFont="1" applyFill="1" applyBorder="1"/>
    <xf numFmtId="168" fontId="136" fillId="6" borderId="28" xfId="87" applyNumberFormat="1" applyFont="1" applyFill="1" applyBorder="1" applyAlignment="1">
      <alignment wrapText="1"/>
    </xf>
    <xf numFmtId="3" fontId="134" fillId="6" borderId="91" xfId="85" applyNumberFormat="1" applyFont="1" applyFill="1" applyBorder="1"/>
    <xf numFmtId="3" fontId="174" fillId="31" borderId="92" xfId="85" applyNumberFormat="1" applyFont="1" applyFill="1" applyBorder="1"/>
    <xf numFmtId="3" fontId="174" fillId="31" borderId="48" xfId="85" applyNumberFormat="1" applyFont="1" applyFill="1" applyBorder="1"/>
    <xf numFmtId="4" fontId="174" fillId="6" borderId="48" xfId="85" applyNumberFormat="1" applyFont="1" applyFill="1" applyBorder="1"/>
    <xf numFmtId="3" fontId="174" fillId="6" borderId="91" xfId="85" applyNumberFormat="1" applyFont="1" applyFill="1" applyBorder="1"/>
    <xf numFmtId="183" fontId="162" fillId="31" borderId="37" xfId="85" applyNumberFormat="1" applyFont="1" applyFill="1" applyBorder="1"/>
    <xf numFmtId="0" fontId="137" fillId="25" borderId="50" xfId="78" applyFont="1" applyFill="1" applyBorder="1"/>
    <xf numFmtId="0" fontId="1" fillId="25" borderId="65" xfId="85" applyFill="1" applyBorder="1"/>
    <xf numFmtId="0" fontId="1" fillId="31" borderId="21" xfId="85" applyFill="1" applyBorder="1"/>
    <xf numFmtId="3" fontId="1" fillId="31" borderId="22" xfId="85" applyNumberFormat="1" applyFill="1" applyBorder="1"/>
    <xf numFmtId="0" fontId="176" fillId="32" borderId="66" xfId="73" applyFont="1" applyFill="1" applyBorder="1" applyAlignment="1">
      <alignment horizontal="left" vertical="top" wrapText="1"/>
    </xf>
    <xf numFmtId="0" fontId="176" fillId="32" borderId="93" xfId="73" applyFont="1" applyFill="1" applyBorder="1" applyAlignment="1">
      <alignment horizontal="left" vertical="center" wrapText="1"/>
    </xf>
    <xf numFmtId="0" fontId="116" fillId="0" borderId="80" xfId="73" applyBorder="1" applyAlignment="1">
      <alignment wrapText="1"/>
    </xf>
    <xf numFmtId="0" fontId="118" fillId="32" borderId="94" xfId="85" applyFont="1" applyFill="1" applyBorder="1" applyAlignment="1">
      <alignment horizontal="left" vertical="center" wrapText="1"/>
    </xf>
    <xf numFmtId="0" fontId="116" fillId="0" borderId="76" xfId="73" applyBorder="1" applyAlignment="1">
      <alignment wrapText="1"/>
    </xf>
    <xf numFmtId="0" fontId="116" fillId="0" borderId="0" xfId="73"/>
    <xf numFmtId="4" fontId="24" fillId="0" borderId="95" xfId="86" applyNumberFormat="1" applyBorder="1"/>
    <xf numFmtId="182" fontId="177" fillId="0" borderId="80" xfId="77" applyNumberFormat="1" applyFont="1" applyBorder="1"/>
    <xf numFmtId="3" fontId="169" fillId="0" borderId="80" xfId="85" applyNumberFormat="1" applyFont="1" applyBorder="1" applyAlignment="1">
      <alignment horizontal="right" vertical="center"/>
    </xf>
    <xf numFmtId="2" fontId="24" fillId="0" borderId="80" xfId="77" applyNumberFormat="1" applyBorder="1"/>
    <xf numFmtId="3" fontId="1" fillId="0" borderId="80" xfId="85" applyNumberFormat="1" applyBorder="1"/>
    <xf numFmtId="4" fontId="24" fillId="0" borderId="96" xfId="86" applyNumberFormat="1" applyBorder="1"/>
    <xf numFmtId="182" fontId="177" fillId="0" borderId="0" xfId="77" applyNumberFormat="1" applyFont="1"/>
    <xf numFmtId="3" fontId="1" fillId="0" borderId="34" xfId="85" applyNumberFormat="1" applyBorder="1"/>
    <xf numFmtId="0" fontId="26" fillId="0" borderId="0" xfId="85" applyFont="1"/>
    <xf numFmtId="3" fontId="26" fillId="0" borderId="0" xfId="85" applyNumberFormat="1" applyFont="1"/>
    <xf numFmtId="4" fontId="1" fillId="0" borderId="97" xfId="85" applyNumberFormat="1" applyBorder="1"/>
    <xf numFmtId="182" fontId="24" fillId="0" borderId="34" xfId="77" applyNumberFormat="1" applyBorder="1"/>
    <xf numFmtId="3" fontId="169" fillId="0" borderId="34" xfId="85" applyNumberFormat="1" applyFont="1" applyBorder="1" applyAlignment="1">
      <alignment horizontal="right" vertical="center"/>
    </xf>
    <xf numFmtId="2" fontId="24" fillId="0" borderId="34" xfId="77" applyNumberFormat="1" applyBorder="1"/>
    <xf numFmtId="4" fontId="1" fillId="0" borderId="96" xfId="85" applyNumberFormat="1" applyBorder="1"/>
    <xf numFmtId="182" fontId="24" fillId="0" borderId="0" xfId="77" applyNumberFormat="1"/>
    <xf numFmtId="0" fontId="1" fillId="0" borderId="34" xfId="85" applyBorder="1"/>
    <xf numFmtId="4" fontId="24" fillId="0" borderId="97" xfId="86" applyNumberFormat="1" applyBorder="1"/>
    <xf numFmtId="0" fontId="119" fillId="0" borderId="98" xfId="85" applyFont="1" applyBorder="1" applyAlignment="1">
      <alignment horizontal="left" vertical="center" wrapText="1"/>
    </xf>
    <xf numFmtId="0" fontId="119" fillId="0" borderId="85" xfId="85" applyFont="1" applyBorder="1" applyAlignment="1">
      <alignment horizontal="left" vertical="center" wrapText="1"/>
    </xf>
    <xf numFmtId="0" fontId="169" fillId="0" borderId="85" xfId="85" applyFont="1" applyBorder="1" applyAlignment="1">
      <alignment horizontal="right" vertical="center"/>
    </xf>
    <xf numFmtId="4" fontId="120" fillId="47" borderId="96" xfId="85" applyNumberFormat="1" applyFont="1" applyFill="1" applyBorder="1" applyAlignment="1">
      <alignment horizontal="left" vertical="top"/>
    </xf>
    <xf numFmtId="2" fontId="1" fillId="0" borderId="99" xfId="85" applyNumberFormat="1" applyBorder="1"/>
    <xf numFmtId="4" fontId="1" fillId="0" borderId="0" xfId="85" applyNumberFormat="1"/>
    <xf numFmtId="0" fontId="1" fillId="48" borderId="0" xfId="85" applyFill="1"/>
    <xf numFmtId="0" fontId="1" fillId="0" borderId="10" xfId="85" applyBorder="1"/>
    <xf numFmtId="0" fontId="1" fillId="0" borderId="28" xfId="85" applyBorder="1"/>
    <xf numFmtId="0" fontId="128" fillId="32" borderId="42" xfId="85" applyFont="1" applyFill="1" applyBorder="1" applyAlignment="1">
      <alignment horizontal="left" vertical="center" wrapText="1"/>
    </xf>
    <xf numFmtId="0" fontId="129" fillId="0" borderId="44" xfId="73" applyFont="1" applyBorder="1" applyAlignment="1">
      <alignment vertical="center" wrapText="1"/>
    </xf>
    <xf numFmtId="0" fontId="129" fillId="11" borderId="100" xfId="73" applyFont="1" applyFill="1" applyBorder="1" applyAlignment="1">
      <alignment horizontal="center" vertical="center" wrapText="1"/>
    </xf>
    <xf numFmtId="0" fontId="129" fillId="0" borderId="10" xfId="73" applyFont="1" applyBorder="1" applyAlignment="1">
      <alignment vertical="center" wrapText="1"/>
    </xf>
    <xf numFmtId="0" fontId="129" fillId="0" borderId="45" xfId="73" applyFont="1" applyBorder="1" applyAlignment="1">
      <alignment horizontal="left" vertical="center" wrapText="1"/>
    </xf>
    <xf numFmtId="0" fontId="129" fillId="11" borderId="5" xfId="73" applyFont="1" applyFill="1" applyBorder="1" applyAlignment="1">
      <alignment horizontal="left" vertical="center" wrapText="1"/>
    </xf>
    <xf numFmtId="168" fontId="133" fillId="6" borderId="0" xfId="87" applyNumberFormat="1" applyFont="1" applyFill="1" applyBorder="1"/>
    <xf numFmtId="3" fontId="178" fillId="31" borderId="101" xfId="85" applyNumberFormat="1" applyFont="1" applyFill="1" applyBorder="1" applyAlignment="1">
      <alignment horizontal="right" vertical="center" wrapText="1"/>
    </xf>
    <xf numFmtId="4" fontId="175" fillId="6" borderId="97" xfId="85" applyNumberFormat="1" applyFont="1" applyFill="1" applyBorder="1"/>
    <xf numFmtId="3" fontId="179" fillId="31" borderId="102" xfId="85" applyNumberFormat="1" applyFont="1" applyFill="1" applyBorder="1" applyAlignment="1">
      <alignment horizontal="right" vertical="center" wrapText="1"/>
    </xf>
    <xf numFmtId="168" fontId="136" fillId="6" borderId="0" xfId="87" applyNumberFormat="1" applyFont="1" applyFill="1" applyBorder="1"/>
    <xf numFmtId="168" fontId="136" fillId="6" borderId="28" xfId="87" applyNumberFormat="1" applyFont="1" applyFill="1" applyBorder="1"/>
    <xf numFmtId="3" fontId="178" fillId="31" borderId="103" xfId="85" applyNumberFormat="1" applyFont="1" applyFill="1" applyBorder="1" applyAlignment="1">
      <alignment horizontal="right" vertical="center" wrapText="1"/>
    </xf>
    <xf numFmtId="4" fontId="175" fillId="6" borderId="64" xfId="85" applyNumberFormat="1" applyFont="1" applyFill="1" applyBorder="1"/>
    <xf numFmtId="3" fontId="179" fillId="31" borderId="104" xfId="85" applyNumberFormat="1" applyFont="1" applyFill="1" applyBorder="1" applyAlignment="1">
      <alignment horizontal="right" vertical="center" wrapText="1"/>
    </xf>
    <xf numFmtId="0" fontId="129" fillId="11" borderId="46" xfId="73" applyFont="1" applyFill="1" applyBorder="1" applyAlignment="1">
      <alignment horizontal="left" vertical="center" wrapText="1"/>
    </xf>
    <xf numFmtId="3" fontId="174" fillId="31" borderId="34" xfId="85" applyNumberFormat="1" applyFont="1" applyFill="1" applyBorder="1" applyAlignment="1">
      <alignment horizontal="right" vertical="center" wrapText="1"/>
    </xf>
    <xf numFmtId="3" fontId="174" fillId="31" borderId="48" xfId="85" applyNumberFormat="1" applyFont="1" applyFill="1" applyBorder="1" applyAlignment="1">
      <alignment horizontal="right" vertical="center" wrapText="1"/>
    </xf>
    <xf numFmtId="0" fontId="26" fillId="17" borderId="39" xfId="65" applyFont="1" applyFill="1" applyBorder="1" applyAlignment="1">
      <alignment horizontal="left" vertical="center" wrapText="1"/>
    </xf>
    <xf numFmtId="0" fontId="26" fillId="12" borderId="51" xfId="65" applyFont="1" applyFill="1" applyBorder="1" applyAlignment="1">
      <alignment horizontal="right"/>
    </xf>
    <xf numFmtId="0" fontId="22" fillId="0" borderId="0" xfId="0" applyFont="1" applyAlignment="1">
      <alignment horizontal="center" wrapText="1"/>
    </xf>
    <xf numFmtId="3" fontId="127" fillId="31" borderId="39" xfId="0" applyNumberFormat="1" applyFont="1" applyFill="1" applyBorder="1" applyAlignment="1">
      <alignment horizontal="center" vertical="center" wrapText="1"/>
    </xf>
    <xf numFmtId="3" fontId="127" fillId="31" borderId="41" xfId="0" applyNumberFormat="1" applyFont="1" applyFill="1" applyBorder="1" applyAlignment="1">
      <alignment horizontal="center" vertical="center" wrapText="1"/>
    </xf>
    <xf numFmtId="0" fontId="51" fillId="31" borderId="38" xfId="0" applyFont="1" applyFill="1" applyBorder="1" applyAlignment="1">
      <alignment horizontal="left" vertical="top" wrapText="1"/>
    </xf>
    <xf numFmtId="0" fontId="51" fillId="31" borderId="40" xfId="0" applyFont="1" applyFill="1" applyBorder="1" applyAlignment="1">
      <alignment horizontal="left" vertical="top" wrapText="1"/>
    </xf>
    <xf numFmtId="0" fontId="0" fillId="42" borderId="0" xfId="0" applyFill="1" applyAlignment="1">
      <alignment horizontal="left" vertical="top" wrapText="1"/>
    </xf>
    <xf numFmtId="2" fontId="42" fillId="6" borderId="61" xfId="84" applyNumberFormat="1" applyFont="1" applyFill="1" applyBorder="1" applyAlignment="1">
      <alignment horizontal="right" wrapText="1"/>
    </xf>
    <xf numFmtId="2" fontId="42" fillId="6" borderId="18" xfId="84" applyNumberFormat="1" applyFont="1" applyFill="1" applyBorder="1" applyAlignment="1">
      <alignment horizontal="right" wrapText="1"/>
    </xf>
    <xf numFmtId="0" fontId="29" fillId="6" borderId="0" xfId="80" applyFont="1" applyFill="1" applyAlignment="1">
      <alignment horizontal="left" vertical="top" wrapText="1"/>
    </xf>
    <xf numFmtId="0" fontId="119" fillId="32" borderId="67" xfId="85" applyFont="1" applyFill="1" applyBorder="1" applyAlignment="1">
      <alignment horizontal="left" vertical="center" wrapText="1"/>
    </xf>
    <xf numFmtId="0" fontId="119" fillId="32" borderId="68" xfId="85" applyFont="1" applyFill="1" applyBorder="1" applyAlignment="1">
      <alignment horizontal="left" vertical="center" wrapText="1"/>
    </xf>
    <xf numFmtId="0" fontId="51" fillId="31" borderId="38" xfId="85" applyFont="1" applyFill="1" applyBorder="1" applyAlignment="1">
      <alignment horizontal="left" vertical="top" wrapText="1"/>
    </xf>
    <xf numFmtId="0" fontId="51" fillId="31" borderId="40" xfId="85" applyFont="1" applyFill="1" applyBorder="1" applyAlignment="1">
      <alignment horizontal="left" vertical="top" wrapText="1"/>
    </xf>
    <xf numFmtId="3" fontId="127" fillId="31" borderId="39" xfId="85" applyNumberFormat="1" applyFont="1" applyFill="1" applyBorder="1" applyAlignment="1">
      <alignment horizontal="center" vertical="center" wrapText="1"/>
    </xf>
    <xf numFmtId="3" fontId="127" fillId="31" borderId="41" xfId="85" applyNumberFormat="1" applyFont="1" applyFill="1" applyBorder="1" applyAlignment="1">
      <alignment horizontal="center" vertical="center" wrapText="1"/>
    </xf>
    <xf numFmtId="0" fontId="170" fillId="0" borderId="28" xfId="85" applyFont="1" applyBorder="1"/>
    <xf numFmtId="0" fontId="170" fillId="0" borderId="0" xfId="85" applyFont="1"/>
    <xf numFmtId="0" fontId="171" fillId="0" borderId="32" xfId="85" applyFont="1" applyBorder="1" applyAlignment="1">
      <alignment horizontal="center"/>
    </xf>
    <xf numFmtId="0" fontId="171" fillId="0" borderId="30" xfId="85" applyFont="1" applyBorder="1" applyAlignment="1">
      <alignment horizontal="center"/>
    </xf>
    <xf numFmtId="0" fontId="171" fillId="0" borderId="10" xfId="85" applyFont="1" applyBorder="1" applyAlignment="1">
      <alignment horizontal="center"/>
    </xf>
    <xf numFmtId="0" fontId="171" fillId="0" borderId="4" xfId="85" applyFont="1" applyBorder="1" applyAlignment="1">
      <alignment horizontal="center"/>
    </xf>
    <xf numFmtId="0" fontId="170" fillId="0" borderId="32" xfId="85" applyFont="1" applyBorder="1"/>
    <xf numFmtId="0" fontId="170" fillId="44" borderId="0" xfId="85" applyFont="1" applyFill="1"/>
    <xf numFmtId="0" fontId="28" fillId="18" borderId="0" xfId="0" applyFont="1" applyFill="1" applyAlignment="1">
      <alignment horizontal="center"/>
    </xf>
    <xf numFmtId="0" fontId="26" fillId="18" borderId="0" xfId="0" applyFont="1" applyFill="1" applyAlignment="1">
      <alignment horizontal="center"/>
    </xf>
    <xf numFmtId="0" fontId="114" fillId="0" borderId="0" xfId="0" applyFont="1"/>
    <xf numFmtId="0" fontId="52" fillId="0" borderId="0" xfId="0" applyFont="1" applyAlignment="1">
      <alignment horizontal="center"/>
    </xf>
    <xf numFmtId="0" fontId="0" fillId="28" borderId="0" xfId="0" applyFill="1" applyAlignment="1">
      <alignment horizontal="center" vertical="center" wrapText="1"/>
    </xf>
    <xf numFmtId="0" fontId="0" fillId="28" borderId="0" xfId="0" applyFill="1" applyAlignment="1">
      <alignment horizontal="left" vertical="top" wrapText="1"/>
    </xf>
    <xf numFmtId="0" fontId="97" fillId="13" borderId="0" xfId="0" applyFont="1" applyFill="1" applyAlignment="1">
      <alignment horizontal="center"/>
    </xf>
    <xf numFmtId="0" fontId="16" fillId="24" borderId="0" xfId="0" applyFont="1" applyFill="1" applyAlignment="1">
      <alignment horizontal="left" vertical="top" wrapText="1"/>
    </xf>
    <xf numFmtId="0" fontId="89" fillId="0" borderId="0" xfId="0" applyFont="1"/>
    <xf numFmtId="0" fontId="97" fillId="29" borderId="27" xfId="0" applyFont="1" applyFill="1" applyBorder="1" applyAlignment="1">
      <alignment horizontal="center"/>
    </xf>
    <xf numFmtId="0" fontId="88" fillId="0" borderId="0" xfId="0" applyFont="1" applyAlignment="1">
      <alignment horizontal="center" wrapText="1"/>
    </xf>
    <xf numFmtId="0" fontId="34" fillId="28" borderId="0" xfId="38" applyFill="1" applyAlignment="1">
      <alignment horizontal="left" vertical="top" wrapText="1"/>
    </xf>
    <xf numFmtId="0" fontId="18" fillId="0" borderId="30" xfId="76" applyFont="1" applyBorder="1" applyAlignment="1">
      <alignment horizontal="center"/>
    </xf>
  </cellXfs>
  <cellStyles count="88">
    <cellStyle name="20 % - Dekorfärg1" xfId="79" builtinId="30"/>
    <cellStyle name="20 % - Dekorfärg4" xfId="36" builtinId="42"/>
    <cellStyle name="20 % - Dekorfärg5" xfId="37" builtinId="46"/>
    <cellStyle name="20 % - Dekorfärg5 2" xfId="65" xr:uid="{00000000-0005-0000-0000-000002000000}"/>
    <cellStyle name="Anteckning" xfId="4" builtinId="10"/>
    <cellStyle name="Beräkning" xfId="3" builtinId="22"/>
    <cellStyle name="Beräkning 2" xfId="82" xr:uid="{1B2AACCF-4F80-4572-8640-3280E8068430}"/>
    <cellStyle name="Bra" xfId="74" builtinId="26"/>
    <cellStyle name="Bra 2" xfId="6" xr:uid="{00000000-0005-0000-0000-000005000000}"/>
    <cellStyle name="Förklarande text" xfId="34" builtinId="53"/>
    <cellStyle name="Hyperlänk" xfId="38" builtinId="8"/>
    <cellStyle name="Hyperlänk 2" xfId="81" xr:uid="{D89EAFB3-0912-4CEF-9A7C-7DB53997F3D9}"/>
    <cellStyle name="Indata" xfId="2" builtinId="20"/>
    <cellStyle name="Indata 2" xfId="83" xr:uid="{34690414-310F-4E96-987C-0D5827A26342}"/>
    <cellStyle name="Kontrollcell" xfId="33" builtinId="23"/>
    <cellStyle name="Länkad cell" xfId="75" builtinId="24"/>
    <cellStyle name="Normaali 2" xfId="7" xr:uid="{00000000-0005-0000-0000-00000A000000}"/>
    <cellStyle name="Normaali 3" xfId="69" xr:uid="{00000000-0005-0000-0000-00000B000000}"/>
    <cellStyle name="Normaali_AT+POTVEROT" xfId="8" xr:uid="{00000000-0005-0000-0000-00000C000000}"/>
    <cellStyle name="Normal" xfId="0" builtinId="0"/>
    <cellStyle name="Normal 10" xfId="62" xr:uid="{00000000-0005-0000-0000-00000E000000}"/>
    <cellStyle name="Normal 11" xfId="63" xr:uid="{00000000-0005-0000-0000-00000F000000}"/>
    <cellStyle name="Normal 12" xfId="66" xr:uid="{00000000-0005-0000-0000-000010000000}"/>
    <cellStyle name="Normal 13" xfId="70" xr:uid="{00000000-0005-0000-0000-000011000000}"/>
    <cellStyle name="Normal 14" xfId="76" xr:uid="{7341EBB3-DED7-439D-B299-C2D63A07ACA9}"/>
    <cellStyle name="Normal 15" xfId="80" xr:uid="{0CFCF243-A001-495F-8ECF-74AEF485C1A0}"/>
    <cellStyle name="Normal 16" xfId="85" xr:uid="{C547A0D8-2B43-4A54-99FE-5E643ACB36CC}"/>
    <cellStyle name="Normal 2" xfId="9" xr:uid="{00000000-0005-0000-0000-000012000000}"/>
    <cellStyle name="Normal 2 2" xfId="10" xr:uid="{00000000-0005-0000-0000-000013000000}"/>
    <cellStyle name="Normal 2 2 10" xfId="54" xr:uid="{00000000-0005-0000-0000-000014000000}"/>
    <cellStyle name="Normal 2 2 10 2" xfId="64" xr:uid="{00000000-0005-0000-0000-000015000000}"/>
    <cellStyle name="Normal 2 2 2" xfId="41" xr:uid="{00000000-0005-0000-0000-000016000000}"/>
    <cellStyle name="Normal 2 3" xfId="11" xr:uid="{00000000-0005-0000-0000-000017000000}"/>
    <cellStyle name="Normal 2 4" xfId="40" xr:uid="{00000000-0005-0000-0000-000018000000}"/>
    <cellStyle name="Normal 2 5" xfId="77" xr:uid="{E90C1266-10E9-4A6F-98C9-D1C62BD7B6C1}"/>
    <cellStyle name="Normal 3" xfId="12" xr:uid="{00000000-0005-0000-0000-000019000000}"/>
    <cellStyle name="Normal 3 2" xfId="13" xr:uid="{00000000-0005-0000-0000-00001A000000}"/>
    <cellStyle name="Normal 3 2 2" xfId="14" xr:uid="{00000000-0005-0000-0000-00001B000000}"/>
    <cellStyle name="Normal 3 2 2 2" xfId="44" xr:uid="{00000000-0005-0000-0000-00001C000000}"/>
    <cellStyle name="Normal 3 2 2 3" xfId="57" xr:uid="{00000000-0005-0000-0000-00001D000000}"/>
    <cellStyle name="Normal 3 2 3" xfId="43" xr:uid="{00000000-0005-0000-0000-00001E000000}"/>
    <cellStyle name="Normal 3 2 4" xfId="56" xr:uid="{00000000-0005-0000-0000-00001F000000}"/>
    <cellStyle name="Normal 3 3" xfId="15" xr:uid="{00000000-0005-0000-0000-000020000000}"/>
    <cellStyle name="Normal 3 3 2" xfId="45" xr:uid="{00000000-0005-0000-0000-000021000000}"/>
    <cellStyle name="Normal 3 3 3" xfId="58" xr:uid="{00000000-0005-0000-0000-000022000000}"/>
    <cellStyle name="Normal 3 4" xfId="16" xr:uid="{00000000-0005-0000-0000-000023000000}"/>
    <cellStyle name="Normal 3 4 2" xfId="46" xr:uid="{00000000-0005-0000-0000-000024000000}"/>
    <cellStyle name="Normal 3 4 3" xfId="59" xr:uid="{00000000-0005-0000-0000-000025000000}"/>
    <cellStyle name="Normal 3 5" xfId="42" xr:uid="{00000000-0005-0000-0000-000026000000}"/>
    <cellStyle name="Normal 3 6" xfId="86" xr:uid="{81763831-467D-4AD8-9905-B957281A2D43}"/>
    <cellStyle name="Normal 4" xfId="17" xr:uid="{00000000-0005-0000-0000-000027000000}"/>
    <cellStyle name="Normal 4 2" xfId="18" xr:uid="{00000000-0005-0000-0000-000028000000}"/>
    <cellStyle name="Normal 4 2 2" xfId="48" xr:uid="{00000000-0005-0000-0000-000029000000}"/>
    <cellStyle name="Normal 4 2 3" xfId="61" xr:uid="{00000000-0005-0000-0000-00002A000000}"/>
    <cellStyle name="Normal 4 3" xfId="47" xr:uid="{00000000-0005-0000-0000-00002B000000}"/>
    <cellStyle name="Normal 4 4" xfId="60" xr:uid="{00000000-0005-0000-0000-00002C000000}"/>
    <cellStyle name="Normal 5" xfId="19" xr:uid="{00000000-0005-0000-0000-00002D000000}"/>
    <cellStyle name="Normal 5 2" xfId="5" xr:uid="{00000000-0005-0000-0000-00002E000000}"/>
    <cellStyle name="Normal 5 3" xfId="49" xr:uid="{00000000-0005-0000-0000-00002F000000}"/>
    <cellStyle name="Normal 6" xfId="20" xr:uid="{00000000-0005-0000-0000-000030000000}"/>
    <cellStyle name="Normal 6 2" xfId="21" xr:uid="{00000000-0005-0000-0000-000031000000}"/>
    <cellStyle name="Normal 6 3" xfId="50" xr:uid="{00000000-0005-0000-0000-000032000000}"/>
    <cellStyle name="Normal 7" xfId="22" xr:uid="{00000000-0005-0000-0000-000033000000}"/>
    <cellStyle name="Normal 7 2" xfId="23" xr:uid="{00000000-0005-0000-0000-000034000000}"/>
    <cellStyle name="Normal 8" xfId="39" xr:uid="{00000000-0005-0000-0000-000035000000}"/>
    <cellStyle name="Normal 9" xfId="55" xr:uid="{00000000-0005-0000-0000-000036000000}"/>
    <cellStyle name="Procent" xfId="1" builtinId="5"/>
    <cellStyle name="Procent 2" xfId="24" xr:uid="{00000000-0005-0000-0000-000038000000}"/>
    <cellStyle name="Procent 2 2" xfId="25" xr:uid="{00000000-0005-0000-0000-000039000000}"/>
    <cellStyle name="Procent 2 3" xfId="51" xr:uid="{00000000-0005-0000-0000-00003A000000}"/>
    <cellStyle name="Procent 3" xfId="26" xr:uid="{00000000-0005-0000-0000-00003B000000}"/>
    <cellStyle name="Procent 4" xfId="27" xr:uid="{00000000-0005-0000-0000-00003C000000}"/>
    <cellStyle name="Procent 4 2" xfId="52" xr:uid="{00000000-0005-0000-0000-00003D000000}"/>
    <cellStyle name="Procent 5" xfId="28" xr:uid="{00000000-0005-0000-0000-00003E000000}"/>
    <cellStyle name="Procent 5 2" xfId="53" xr:uid="{00000000-0005-0000-0000-00003F000000}"/>
    <cellStyle name="Procent 6" xfId="68" xr:uid="{00000000-0005-0000-0000-000040000000}"/>
    <cellStyle name="Procent 7" xfId="87" xr:uid="{43ECF740-5756-4215-A57E-F2B941536045}"/>
    <cellStyle name="Prosenttia 2" xfId="71" xr:uid="{00000000-0005-0000-0000-000041000000}"/>
    <cellStyle name="Rubrik" xfId="72" builtinId="15"/>
    <cellStyle name="Rubrik 2" xfId="78" builtinId="17"/>
    <cellStyle name="Rubrik 3 2" xfId="29" xr:uid="{00000000-0005-0000-0000-000043000000}"/>
    <cellStyle name="Rubrik 4" xfId="73" builtinId="19"/>
    <cellStyle name="Summa" xfId="35" builtinId="25"/>
    <cellStyle name="Tusental" xfId="32" builtinId="3"/>
    <cellStyle name="Tusental 2" xfId="30" xr:uid="{00000000-0005-0000-0000-000047000000}"/>
    <cellStyle name="Tusental 3" xfId="31" xr:uid="{00000000-0005-0000-0000-000048000000}"/>
    <cellStyle name="Tusental 4" xfId="67" xr:uid="{00000000-0005-0000-0000-000049000000}"/>
    <cellStyle name="Tusental 5" xfId="84" xr:uid="{694B123C-2AEF-4D2C-AA7E-6DD65745A969}"/>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font>
      <fill>
        <patternFill>
          <bgColor rgb="FFE1EDE1"/>
        </patternFill>
      </fill>
    </dxf>
    <dxf>
      <font>
        <b val="0"/>
        <i val="0"/>
      </font>
      <fill>
        <patternFill>
          <bgColor rgb="FFE1EDE1"/>
        </patternFill>
      </fill>
    </dxf>
    <dxf>
      <font>
        <b/>
        <i val="0"/>
      </font>
    </dxf>
    <dxf>
      <font>
        <b val="0"/>
        <i val="0"/>
      </font>
    </dxf>
    <dxf>
      <font>
        <b/>
        <i val="0"/>
      </font>
      <border>
        <top style="medium">
          <color rgb="FF659B7D"/>
        </top>
        <bottom style="medium">
          <color rgb="FF659B7D"/>
        </bottom>
      </border>
    </dxf>
    <dxf>
      <font>
        <b/>
        <i val="0"/>
      </font>
      <fill>
        <patternFill>
          <bgColor rgb="FFC2D8CC"/>
        </patternFill>
      </fill>
      <border>
        <left/>
        <right/>
        <top style="medium">
          <color rgb="FF659B7D"/>
        </top>
        <bottom style="medium">
          <color rgb="FF659B7D"/>
        </bottom>
      </border>
    </dxf>
    <dxf>
      <font>
        <b val="0"/>
        <i val="0"/>
      </font>
      <border>
        <left/>
        <right/>
        <top style="medium">
          <color rgb="FF659B7D"/>
        </top>
        <bottom style="medium">
          <color rgb="FF659B7D"/>
        </bottom>
      </border>
    </dxf>
  </dxfs>
  <tableStyles count="2" defaultTableStyle="TableStyleMedium2" defaultPivotStyle="PivotStyleLight16">
    <tableStyle name="PivotTable Style 1" table="0" count="6"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
    <tableStyle name="Vesa" table="0" count="1" xr9:uid="{00000000-0011-0000-FFFF-FFFF01000000}">
      <tableStyleElement type="wholeTable" dxfId="5"/>
    </tableStyle>
  </tableStyles>
  <colors>
    <mruColors>
      <color rgb="FFFFFFCC"/>
      <color rgb="FFD3E3E5"/>
      <color rgb="FF456E73"/>
      <color rgb="FF273E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6C1-426B-B0B4-10A88C9DDD2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6C1-426B-B0B4-10A88C9DDD2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6C1-426B-B0B4-10A88C9DDD2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6C1-426B-B0B4-10A88C9DDD2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6C1-426B-B0B4-10A88C9DDD2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DA3-4E25-A9BB-E4233C07E4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Statistik!$A$5:$A$10</c:f>
              <c:strCache>
                <c:ptCount val="4"/>
                <c:pt idx="0">
                  <c:v>Skattekomplettering</c:v>
                </c:pt>
                <c:pt idx="1">
                  <c:v>Bildningssektorn (grk+baom+str+spcfr+förb+grvx)</c:v>
                </c:pt>
                <c:pt idx="2">
                  <c:v>Socialvård (äldreomsorg+kst)</c:v>
                </c:pt>
                <c:pt idx="3">
                  <c:v>Kultur</c:v>
                </c:pt>
              </c:strCache>
            </c:strRef>
          </c:cat>
          <c:val>
            <c:numRef>
              <c:f>Statistik!$B$5:$B$10</c:f>
              <c:numCache>
                <c:formatCode>#,##0</c:formatCode>
                <c:ptCount val="6"/>
                <c:pt idx="0">
                  <c:v>16920146</c:v>
                </c:pt>
                <c:pt idx="1">
                  <c:v>13933288</c:v>
                </c:pt>
                <c:pt idx="2">
                  <c:v>9759053</c:v>
                </c:pt>
                <c:pt idx="3">
                  <c:v>519928</c:v>
                </c:pt>
              </c:numCache>
            </c:numRef>
          </c:val>
          <c:extLst>
            <c:ext xmlns:c16="http://schemas.microsoft.com/office/drawing/2014/chart" uri="{C3380CC4-5D6E-409C-BE32-E72D297353CC}">
              <c16:uniqueId val="{00000000-A961-4CFA-8FD5-171C65B7709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2025</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manualLayout>
          <c:layoutTarget val="inner"/>
          <c:xMode val="edge"/>
          <c:yMode val="edge"/>
          <c:x val="0.1275094050743657"/>
          <c:y val="0.22799467774861479"/>
          <c:w val="0.39454527559055119"/>
          <c:h val="0.65757545931758532"/>
        </c:manualLayout>
      </c:layout>
      <c:pieChart>
        <c:varyColors val="1"/>
        <c:ser>
          <c:idx val="0"/>
          <c:order val="0"/>
          <c:tx>
            <c:strRef>
              <c:f>Statistik!$C$4</c:f>
              <c:strCache>
                <c:ptCount val="1"/>
                <c:pt idx="0">
                  <c:v>2025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86F-4FF5-A54B-F6D210B9DA0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86F-4FF5-A54B-F6D210B9DA0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86F-4FF5-A54B-F6D210B9DA0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F86F-4FF5-A54B-F6D210B9DA0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F86F-4FF5-A54B-F6D210B9DA0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F86F-4FF5-A54B-F6D210B9DA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Statistik!$A$5:$A$8</c:f>
              <c:strCache>
                <c:ptCount val="4"/>
                <c:pt idx="0">
                  <c:v>Skattekomplettering</c:v>
                </c:pt>
                <c:pt idx="1">
                  <c:v>Bildningssektorn (grk+baom+str+spcfr+förb+grvx)</c:v>
                </c:pt>
                <c:pt idx="2">
                  <c:v>Socialvård (äldreomsorg+kst)</c:v>
                </c:pt>
                <c:pt idx="3">
                  <c:v>Kultur</c:v>
                </c:pt>
              </c:strCache>
            </c:strRef>
          </c:cat>
          <c:val>
            <c:numRef>
              <c:f>Statistik!$C$5:$C$8</c:f>
              <c:numCache>
                <c:formatCode>#,##0</c:formatCode>
                <c:ptCount val="4"/>
                <c:pt idx="0">
                  <c:v>17927767.649999999</c:v>
                </c:pt>
                <c:pt idx="1">
                  <c:v>14813739.08794</c:v>
                </c:pt>
                <c:pt idx="2">
                  <c:v>10516850.310000002</c:v>
                </c:pt>
                <c:pt idx="3">
                  <c:v>550379.39</c:v>
                </c:pt>
              </c:numCache>
            </c:numRef>
          </c:val>
          <c:extLst>
            <c:ext xmlns:c16="http://schemas.microsoft.com/office/drawing/2014/chart" uri="{C3380CC4-5D6E-409C-BE32-E72D297353CC}">
              <c16:uniqueId val="{0000000C-F86F-4FF5-A54B-F6D210B9DA0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Kompletteringstal 2025 (medel 19-23)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manualLayout>
          <c:layoutTarget val="inner"/>
          <c:xMode val="edge"/>
          <c:yMode val="edge"/>
          <c:x val="0.10315133337976894"/>
          <c:y val="0.18297263781530243"/>
          <c:w val="0.86570184641816272"/>
          <c:h val="0.62699587894011766"/>
        </c:manualLayout>
      </c:layout>
      <c:lineChart>
        <c:grouping val="standard"/>
        <c:varyColors val="0"/>
        <c:ser>
          <c:idx val="0"/>
          <c:order val="0"/>
          <c:tx>
            <c:strRef>
              <c:f>'Skattekompl data'!$L$92</c:f>
              <c:strCache>
                <c:ptCount val="1"/>
                <c:pt idx="0">
                  <c:v>2025</c:v>
                </c:pt>
              </c:strCache>
            </c:strRef>
          </c:tx>
          <c:spPr>
            <a:ln w="28575" cap="rnd">
              <a:solidFill>
                <a:schemeClr val="accent1"/>
              </a:solidFill>
              <a:round/>
            </a:ln>
            <a:effectLst/>
          </c:spPr>
          <c:marker>
            <c:symbol val="none"/>
          </c:marker>
          <c:dLbls>
            <c:dLbl>
              <c:idx val="0"/>
              <c:layout>
                <c:manualLayout>
                  <c:x val="-4.7222222222222276E-2"/>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5D-4138-9A53-3EE1666F280E}"/>
                </c:ext>
              </c:extLst>
            </c:dLbl>
            <c:dLbl>
              <c:idx val="1"/>
              <c:layout>
                <c:manualLayout>
                  <c:x val="-6.6666666666666763E-2"/>
                  <c:y val="-7.292819794614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E-4E03-ABF6-5CEDA654282C}"/>
                </c:ext>
              </c:extLst>
            </c:dLbl>
            <c:dLbl>
              <c:idx val="2"/>
              <c:layout>
                <c:manualLayout>
                  <c:x val="5.5555555555554534E-3"/>
                  <c:y val="3.646409897307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6E-4E03-ABF6-5CEDA654282C}"/>
                </c:ext>
              </c:extLst>
            </c:dLbl>
            <c:dLbl>
              <c:idx val="3"/>
              <c:layout>
                <c:manualLayout>
                  <c:x val="-2.7777777777777828E-2"/>
                  <c:y val="-0.12154699657690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E-4E03-ABF6-5CEDA654282C}"/>
                </c:ext>
              </c:extLst>
            </c:dLbl>
            <c:dLbl>
              <c:idx val="4"/>
              <c:layout>
                <c:manualLayout>
                  <c:x val="1.3888888888888888E-2"/>
                  <c:y val="5.2670365183325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6E-4E03-ABF6-5CEDA654282C}"/>
                </c:ext>
              </c:extLst>
            </c:dLbl>
            <c:dLbl>
              <c:idx val="5"/>
              <c:layout>
                <c:manualLayout>
                  <c:x val="2.7777777777777779E-3"/>
                  <c:y val="4.861879863076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E-4E03-ABF6-5CEDA654282C}"/>
                </c:ext>
              </c:extLst>
            </c:dLbl>
            <c:dLbl>
              <c:idx val="6"/>
              <c:layout>
                <c:manualLayout>
                  <c:x val="-2.2222222222222272E-2"/>
                  <c:y val="-4.8618798630761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E-4E03-ABF6-5CEDA654282C}"/>
                </c:ext>
              </c:extLst>
            </c:dLbl>
            <c:dLbl>
              <c:idx val="7"/>
              <c:layout>
                <c:manualLayout>
                  <c:x val="5.5555555555555558E-3"/>
                  <c:y val="6.4825064841015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E-4E03-ABF6-5CEDA654282C}"/>
                </c:ext>
              </c:extLst>
            </c:dLbl>
            <c:dLbl>
              <c:idx val="8"/>
              <c:layout>
                <c:manualLayout>
                  <c:x val="3.888888888888889E-2"/>
                  <c:y val="9.3186030708960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E-4E03-ABF6-5CEDA654282C}"/>
                </c:ext>
              </c:extLst>
            </c:dLbl>
            <c:dLbl>
              <c:idx val="9"/>
              <c:layout>
                <c:manualLayout>
                  <c:x val="-8.8888888888888892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E-4E03-ABF6-5CEDA654282C}"/>
                </c:ext>
              </c:extLst>
            </c:dLbl>
            <c:dLbl>
              <c:idx val="10"/>
              <c:layout>
                <c:manualLayout>
                  <c:x val="1.6666666666666666E-2"/>
                  <c:y val="6.8876631393579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6E-4E03-ABF6-5CEDA654282C}"/>
                </c:ext>
              </c:extLst>
            </c:dLbl>
            <c:dLbl>
              <c:idx val="11"/>
              <c:layout>
                <c:manualLayout>
                  <c:x val="-5.8333333333333334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E-4E03-ABF6-5CEDA654282C}"/>
                </c:ext>
              </c:extLst>
            </c:dLbl>
            <c:dLbl>
              <c:idx val="12"/>
              <c:layout>
                <c:manualLayout>
                  <c:x val="2.7777777777777776E-2"/>
                  <c:y val="7.29281979461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6E-4E03-ABF6-5CEDA654282C}"/>
                </c:ext>
              </c:extLst>
            </c:dLbl>
            <c:dLbl>
              <c:idx val="13"/>
              <c:layout>
                <c:manualLayout>
                  <c:x val="-5.5555555555555558E-3"/>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E-4E03-ABF6-5CEDA654282C}"/>
                </c:ext>
              </c:extLst>
            </c:dLbl>
            <c:dLbl>
              <c:idx val="14"/>
              <c:layout>
                <c:manualLayout>
                  <c:x val="-1.9363073674687529E-3"/>
                  <c:y val="6.9137848697203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E-4E03-ABF6-5CEDA654282C}"/>
                </c:ext>
              </c:extLst>
            </c:dLbl>
            <c:dLbl>
              <c:idx val="15"/>
              <c:layout>
                <c:manualLayout>
                  <c:x val="-7.0637686412741568E-2"/>
                  <c:y val="-5.471252063187359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extLst>
                <c:ext xmlns:c15="http://schemas.microsoft.com/office/drawing/2012/chart" uri="{CE6537A1-D6FC-4f65-9D91-7224C49458BB}">
                  <c15:layout>
                    <c:manualLayout>
                      <c:w val="9.4137942686979711E-2"/>
                      <c:h val="5.104322510889301E-2"/>
                    </c:manualLayout>
                  </c15:layout>
                </c:ext>
                <c:ext xmlns:c16="http://schemas.microsoft.com/office/drawing/2014/chart" uri="{C3380CC4-5D6E-409C-BE32-E72D297353CC}">
                  <c16:uniqueId val="{00000004-F26E-4E03-ABF6-5CEDA65428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'Skattekompl data'!$K$93:$K$108</c:f>
              <c:strCache>
                <c:ptCount val="16"/>
                <c:pt idx="0">
                  <c:v>Geta</c:v>
                </c:pt>
                <c:pt idx="1">
                  <c:v>Kökar</c:v>
                </c:pt>
                <c:pt idx="2">
                  <c:v>Vårdö</c:v>
                </c:pt>
                <c:pt idx="3">
                  <c:v>Hammarland</c:v>
                </c:pt>
                <c:pt idx="4">
                  <c:v>Eckerö</c:v>
                </c:pt>
                <c:pt idx="5">
                  <c:v>Sund</c:v>
                </c:pt>
                <c:pt idx="6">
                  <c:v>Finström</c:v>
                </c:pt>
                <c:pt idx="7">
                  <c:v>Föglö</c:v>
                </c:pt>
                <c:pt idx="8">
                  <c:v>Kumlinge</c:v>
                </c:pt>
                <c:pt idx="9">
                  <c:v>Sottunga</c:v>
                </c:pt>
                <c:pt idx="10">
                  <c:v>Lemland</c:v>
                </c:pt>
                <c:pt idx="11">
                  <c:v>Lumparland</c:v>
                </c:pt>
                <c:pt idx="12">
                  <c:v>Saltvik</c:v>
                </c:pt>
                <c:pt idx="13">
                  <c:v>Jomala</c:v>
                </c:pt>
                <c:pt idx="14">
                  <c:v>Mariehamn</c:v>
                </c:pt>
                <c:pt idx="15">
                  <c:v>Brändö</c:v>
                </c:pt>
              </c:strCache>
            </c:strRef>
          </c:cat>
          <c:val>
            <c:numRef>
              <c:f>'Skattekompl data'!$L$93:$L$108</c:f>
              <c:numCache>
                <c:formatCode>#,##0</c:formatCode>
                <c:ptCount val="16"/>
                <c:pt idx="0">
                  <c:v>12796.663164119856</c:v>
                </c:pt>
                <c:pt idx="1">
                  <c:v>15789.462796790885</c:v>
                </c:pt>
                <c:pt idx="2">
                  <c:v>16118.638635739408</c:v>
                </c:pt>
                <c:pt idx="3">
                  <c:v>16789.391600419018</c:v>
                </c:pt>
                <c:pt idx="4">
                  <c:v>17516.242232515051</c:v>
                </c:pt>
                <c:pt idx="5">
                  <c:v>17912.745198045399</c:v>
                </c:pt>
                <c:pt idx="6">
                  <c:v>18897.168116490979</c:v>
                </c:pt>
                <c:pt idx="7">
                  <c:v>19003.501959934325</c:v>
                </c:pt>
                <c:pt idx="8">
                  <c:v>19420.77533132644</c:v>
                </c:pt>
                <c:pt idx="9">
                  <c:v>19825.193366173513</c:v>
                </c:pt>
                <c:pt idx="10">
                  <c:v>19848.649613069843</c:v>
                </c:pt>
                <c:pt idx="11">
                  <c:v>20116.660374413037</c:v>
                </c:pt>
                <c:pt idx="12">
                  <c:v>21016.835331959555</c:v>
                </c:pt>
                <c:pt idx="13">
                  <c:v>22067.495690087962</c:v>
                </c:pt>
                <c:pt idx="14">
                  <c:v>25027.216797611276</c:v>
                </c:pt>
                <c:pt idx="15">
                  <c:v>26321.869859071099</c:v>
                </c:pt>
              </c:numCache>
            </c:numRef>
          </c:val>
          <c:smooth val="0"/>
          <c:extLst>
            <c:ext xmlns:c16="http://schemas.microsoft.com/office/drawing/2014/chart" uri="{C3380CC4-5D6E-409C-BE32-E72D297353CC}">
              <c16:uniqueId val="{00000000-F26E-4E03-ABF6-5CEDA654282C}"/>
            </c:ext>
          </c:extLst>
        </c:ser>
        <c:dLbls>
          <c:showLegendKey val="0"/>
          <c:showVal val="0"/>
          <c:showCatName val="0"/>
          <c:showSerName val="0"/>
          <c:showPercent val="0"/>
          <c:showBubbleSize val="0"/>
        </c:dLbls>
        <c:smooth val="0"/>
        <c:axId val="525397440"/>
        <c:axId val="525392520"/>
      </c:lineChart>
      <c:catAx>
        <c:axId val="5253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2520"/>
        <c:crosses val="autoZero"/>
        <c:auto val="1"/>
        <c:lblAlgn val="ctr"/>
        <c:lblOffset val="100"/>
        <c:noMultiLvlLbl val="0"/>
      </c:catAx>
      <c:valAx>
        <c:axId val="52539252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chart" Target="../charts/chart3.xml"/><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image" Target="../media/image16.tmp"/><Relationship Id="rId3" Type="http://schemas.openxmlformats.org/officeDocument/2006/relationships/image" Target="../media/image11.tmp"/><Relationship Id="rId7" Type="http://schemas.openxmlformats.org/officeDocument/2006/relationships/image" Target="../media/image15.tmp"/><Relationship Id="rId2" Type="http://schemas.openxmlformats.org/officeDocument/2006/relationships/image" Target="../media/image10.tmp"/><Relationship Id="rId1" Type="http://schemas.openxmlformats.org/officeDocument/2006/relationships/image" Target="../media/image9.png"/><Relationship Id="rId6" Type="http://schemas.openxmlformats.org/officeDocument/2006/relationships/image" Target="../media/image14.tmp"/><Relationship Id="rId5" Type="http://schemas.openxmlformats.org/officeDocument/2006/relationships/image" Target="../media/image13.png"/><Relationship Id="rId4" Type="http://schemas.openxmlformats.org/officeDocument/2006/relationships/image" Target="../media/image12.tmp"/><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12</xdr:col>
      <xdr:colOff>9525</xdr:colOff>
      <xdr:row>24</xdr:row>
      <xdr:rowOff>9525</xdr:rowOff>
    </xdr:to>
    <xdr:pic>
      <xdr:nvPicPr>
        <xdr:cNvPr id="3" name="Bildobjekt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90525"/>
          <a:ext cx="381952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62</xdr:row>
      <xdr:rowOff>-1</xdr:rowOff>
    </xdr:from>
    <xdr:to>
      <xdr:col>19</xdr:col>
      <xdr:colOff>88447</xdr:colOff>
      <xdr:row>96</xdr:row>
      <xdr:rowOff>72459</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17389928"/>
          <a:ext cx="16546286" cy="73082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148590</xdr:colOff>
      <xdr:row>227</xdr:row>
      <xdr:rowOff>87630</xdr:rowOff>
    </xdr:from>
    <xdr:to>
      <xdr:col>21</xdr:col>
      <xdr:colOff>207645</xdr:colOff>
      <xdr:row>242</xdr:row>
      <xdr:rowOff>38100</xdr:rowOff>
    </xdr:to>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7692390" y="4773930"/>
          <a:ext cx="4145280" cy="2988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 kommun ska senaste kända statistikuppgifter (2023 års beskattning) beaktas samt senaste inkomstskattesats (för år 2025).</a:t>
          </a:r>
        </a:p>
        <a:p>
          <a:pPr marL="0" marR="0" lvl="0" indent="0" defTabSz="914400" eaLnBrk="1" fontAlgn="auto" latinLnBrk="0" hangingPunct="1">
            <a:lnSpc>
              <a:spcPct val="100000"/>
            </a:lnSpc>
            <a:spcBef>
              <a:spcPts val="0"/>
            </a:spcBef>
            <a:spcAft>
              <a:spcPts val="0"/>
            </a:spcAft>
            <a:buClrTx/>
            <a:buSzTx/>
            <a:buFontTx/>
            <a:buNone/>
            <a:tabLst/>
            <a:defRPr/>
          </a:pPr>
          <a:endParaRPr lang="sv-FI"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När beskattningen för år 2025 är slutförd kan det slutliga kompensationsbeloppet om 60 % av inkomstborfall till följd av grundavdraget beräknas och en avräkning görs i förhållande till det belopp som fördelats ut som förskott under år 2025.</a:t>
          </a:r>
        </a:p>
      </xdr:txBody>
    </xdr:sp>
    <xdr:clientData/>
  </xdr:twoCellAnchor>
  <xdr:twoCellAnchor>
    <xdr:from>
      <xdr:col>12</xdr:col>
      <xdr:colOff>148590</xdr:colOff>
      <xdr:row>40</xdr:row>
      <xdr:rowOff>87630</xdr:rowOff>
    </xdr:from>
    <xdr:to>
      <xdr:col>21</xdr:col>
      <xdr:colOff>207645</xdr:colOff>
      <xdr:row>55</xdr:row>
      <xdr:rowOff>38100</xdr:rowOff>
    </xdr:to>
    <xdr:sp macro="" textlink="">
      <xdr:nvSpPr>
        <xdr:cNvPr id="4" name="textruta 3">
          <a:extLst>
            <a:ext uri="{FF2B5EF4-FFF2-40B4-BE49-F238E27FC236}">
              <a16:creationId xmlns:a16="http://schemas.microsoft.com/office/drawing/2014/main" id="{00000000-0008-0000-0400-000004000000}"/>
            </a:ext>
          </a:extLst>
        </xdr:cNvPr>
        <xdr:cNvSpPr txBox="1"/>
      </xdr:nvSpPr>
      <xdr:spPr>
        <a:xfrm>
          <a:off x="11588115" y="43921680"/>
          <a:ext cx="6917055" cy="420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a:t>
          </a:r>
          <a:r>
            <a:rPr lang="sv-FI" sz="1100" baseline="0">
              <a:solidFill>
                <a:schemeClr val="dk1"/>
              </a:solidFill>
              <a:effectLst/>
              <a:latin typeface="+mn-lt"/>
              <a:ea typeface="+mn-ea"/>
              <a:cs typeface="+mn-cs"/>
            </a:rPr>
            <a:t> kommun ska</a:t>
          </a:r>
          <a:r>
            <a:rPr lang="sv-FI" sz="1100">
              <a:solidFill>
                <a:schemeClr val="dk1"/>
              </a:solidFill>
              <a:effectLst/>
              <a:latin typeface="+mn-lt"/>
              <a:ea typeface="+mn-ea"/>
              <a:cs typeface="+mn-cs"/>
            </a:rPr>
            <a:t> senaste</a:t>
          </a:r>
          <a:r>
            <a:rPr lang="sv-FI" sz="1100" baseline="0">
              <a:solidFill>
                <a:schemeClr val="dk1"/>
              </a:solidFill>
              <a:effectLst/>
              <a:latin typeface="+mn-lt"/>
              <a:ea typeface="+mn-ea"/>
              <a:cs typeface="+mn-cs"/>
            </a:rPr>
            <a:t> kända </a:t>
          </a:r>
          <a:r>
            <a:rPr lang="sv-FI" sz="1100">
              <a:solidFill>
                <a:schemeClr val="dk1"/>
              </a:solidFill>
              <a:effectLst/>
              <a:latin typeface="+mn-lt"/>
              <a:ea typeface="+mn-ea"/>
              <a:cs typeface="+mn-cs"/>
            </a:rPr>
            <a:t>statistikuppgifter (torde bli 2022 års beskattning</a:t>
          </a:r>
          <a:r>
            <a:rPr lang="sv-FI" sz="1100" baseline="0">
              <a:solidFill>
                <a:schemeClr val="dk1"/>
              </a:solidFill>
              <a:effectLst/>
              <a:latin typeface="+mn-lt"/>
              <a:ea typeface="+mn-ea"/>
              <a:cs typeface="+mn-cs"/>
            </a:rPr>
            <a:t>) beaktas samt senaste inkomstskattesats (för år 2024).</a:t>
          </a:r>
          <a:endParaRPr lang="sv-FI">
            <a:effectLst/>
          </a:endParaRPr>
        </a:p>
        <a:p>
          <a:endParaRPr lang="sv-FI" sz="1100" baseline="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När beskattningen för år 2024 är slutförd kan det slutliga kompensationsbeloppet om 70 % av inkomstborfall till följd av grundavdraget beräknas och en avräkning görs i förhållande till det belopp som fördelats ut som förskott under år 2024.</a:t>
          </a:r>
          <a:endParaRPr lang="sv-FI">
            <a:effectLst/>
          </a:endParaRPr>
        </a:p>
        <a:p>
          <a:endParaRPr lang="sv-FI" sz="110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Avsikten är att förskottet ska betalas ut månatligen. </a:t>
          </a:r>
          <a:endParaRPr lang="sv-FI" sz="1100"/>
        </a:p>
      </xdr:txBody>
    </xdr:sp>
    <xdr:clientData/>
  </xdr:twoCellAnchor>
  <xdr:twoCellAnchor>
    <xdr:from>
      <xdr:col>13</xdr:col>
      <xdr:colOff>0</xdr:colOff>
      <xdr:row>80</xdr:row>
      <xdr:rowOff>137158</xdr:rowOff>
    </xdr:from>
    <xdr:to>
      <xdr:col>20</xdr:col>
      <xdr:colOff>571500</xdr:colOff>
      <xdr:row>97</xdr:row>
      <xdr:rowOff>104775</xdr:rowOff>
    </xdr:to>
    <xdr:sp macro="" textlink="">
      <xdr:nvSpPr>
        <xdr:cNvPr id="5" name="textruta 4">
          <a:extLst>
            <a:ext uri="{FF2B5EF4-FFF2-40B4-BE49-F238E27FC236}">
              <a16:creationId xmlns:a16="http://schemas.microsoft.com/office/drawing/2014/main" id="{00000000-0008-0000-0400-000005000000}"/>
            </a:ext>
          </a:extLst>
        </xdr:cNvPr>
        <xdr:cNvSpPr txBox="1"/>
      </xdr:nvSpPr>
      <xdr:spPr>
        <a:xfrm>
          <a:off x="12201525" y="55201183"/>
          <a:ext cx="5905500" cy="3729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2022 års beskattning</a:t>
          </a:r>
          <a:r>
            <a:rPr lang="sv-FI" sz="1100" baseline="0"/>
            <a:t>) beaktas samt senaste inkomstskattesats (för år 2024).</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2024 är slutförd kan det slutliga kompensationsbeloppet om 70 % av inkomstborfall till följd av resekostnadsavdraget beräknas och en avräkning görs i förhållande till det belopp som fördelats ut som förskott under år 2024.</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mc:AlternateContent xmlns:mc="http://schemas.openxmlformats.org/markup-compatibility/2006">
    <mc:Choice xmlns:a14="http://schemas.microsoft.com/office/drawing/2010/main" Requires="a14">
      <xdr:twoCellAnchor editAs="oneCell">
        <xdr:from>
          <xdr:col>9</xdr:col>
          <xdr:colOff>631031</xdr:colOff>
          <xdr:row>419</xdr:row>
          <xdr:rowOff>119063</xdr:rowOff>
        </xdr:from>
        <xdr:to>
          <xdr:col>21</xdr:col>
          <xdr:colOff>547687</xdr:colOff>
          <xdr:row>444</xdr:row>
          <xdr:rowOff>189596</xdr:rowOff>
        </xdr:to>
        <xdr:pic>
          <xdr:nvPicPr>
            <xdr:cNvPr id="9" name="Bildobjekt 8">
              <a:extLst>
                <a:ext uri="{FF2B5EF4-FFF2-40B4-BE49-F238E27FC236}">
                  <a16:creationId xmlns:a16="http://schemas.microsoft.com/office/drawing/2014/main" id="{00000000-0008-0000-0400-000009000000}"/>
                </a:ext>
              </a:extLst>
            </xdr:cNvPr>
            <xdr:cNvPicPr>
              <a:picLocks noChangeAspect="1" noChangeArrowheads="1"/>
              <a:extLst>
                <a:ext uri="{84589F7E-364E-4C9E-8A38-B11213B215E9}">
                  <a14:cameraTool cellRange="'[2]Sammanställning (utanordning)'!$C$4:$K$22" spid="_x0000_s3089"/>
                </a:ext>
              </a:extLst>
            </xdr:cNvPicPr>
          </xdr:nvPicPr>
          <xdr:blipFill>
            <a:blip xmlns:r="http://schemas.openxmlformats.org/officeDocument/2006/relationships" r:embed="rId1"/>
            <a:srcRect/>
            <a:stretch>
              <a:fillRect/>
            </a:stretch>
          </xdr:blipFill>
          <xdr:spPr bwMode="auto">
            <a:xfrm>
              <a:off x="10060781" y="43529251"/>
              <a:ext cx="9060656" cy="602365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74542</xdr:colOff>
      <xdr:row>2</xdr:row>
      <xdr:rowOff>231914</xdr:rowOff>
    </xdr:from>
    <xdr:to>
      <xdr:col>18</xdr:col>
      <xdr:colOff>157370</xdr:colOff>
      <xdr:row>31</xdr:row>
      <xdr:rowOff>16565</xdr:rowOff>
    </xdr:to>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9247117" y="231914"/>
          <a:ext cx="6655078" cy="883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Kort</a:t>
          </a:r>
          <a:r>
            <a:rPr lang="sv-FI" sz="1100" b="1" baseline="0"/>
            <a:t> beskrivning till bestämningen av totalbeloppet för förskottet</a:t>
          </a:r>
        </a:p>
        <a:p>
          <a:endParaRPr lang="sv-FI" sz="1100" baseline="0"/>
        </a:p>
        <a:p>
          <a:r>
            <a:rPr lang="sv-FI" sz="1100" baseline="0"/>
            <a:t>1) Ålandsdelegationen (ÅD) beslutar om beloppet för det förskott på skatteavräkningen som landskapet erhåller. Förskottet gäller pågående skatteår, d.v.s. förskottet på skatteavräkningen för år 2023 avser skatteår 2023. Statens andel av samfundsskatten på Åland ingår i totalbeloppet för skatteavräkningen, se 49 § Självstyrelselag för Åland. Grunduppgifter för att kunna fastställa förskottsbeloppet för skatteavräkningen erhåller ÅD av Finansministeriet, se punkt 2). </a:t>
          </a:r>
        </a:p>
        <a:p>
          <a:r>
            <a:rPr lang="sv-FI" sz="1100" baseline="0"/>
            <a:t>2) Sammanlagt 96.380.648 euro i skatter som ingår i skatteavräkningen har beräknats/prognosticerats för skatteår 2023. ÅD har i sitt beslut avrundat förskottet på skatteavräkningen till 96 miljoner euro jämt.</a:t>
          </a:r>
        </a:p>
        <a:p>
          <a:r>
            <a:rPr lang="sv-FI" sz="1100" baseline="0"/>
            <a:t>3) Det beslutade förskottsbeloppet för skatteavräkningen för skatteår 2023 utgör 99,6 % av de beräknade/prognosticerade skatterna.</a:t>
          </a:r>
        </a:p>
        <a:p>
          <a:r>
            <a:rPr lang="sv-FI" sz="1100" baseline="0"/>
            <a:t>4) Med antagandet att skillnaden mellan det beslutade förskottsbeloppet för skatteavräkningen och de beräknade/prognosticerade skatterna sammanlagt fördelar sig jämt mellan de olika skatteslagen som ingår i skatteavräkningen kan det kalkyleras att samfundsskattebeloppet som ingår i förskottsbeloppet utgör 99,6 % av 22.802.700 euro i prognosticerad samfundsskatt, d.v.s. 22.712.642 euro</a:t>
          </a:r>
        </a:p>
        <a:p>
          <a:r>
            <a:rPr lang="sv-FI" sz="1100" baseline="0"/>
            <a:t>5) för skatteår 2023 är statens andel av totala samfundsskatten 76,09 % (och resterande andel om 23,69 % kanaliseras till kommunerna). Fördelningen framgår av 12 f § 4 p. i Lag om skatteredovisning.</a:t>
          </a:r>
        </a:p>
        <a:p>
          <a:r>
            <a:rPr lang="sv-FI" sz="1100" baseline="0"/>
            <a:t>6) Av 2 § LL (2023:5) om kompensation till kommunerna för sänkta samfundsskatteintäkter framgår att "Kompensationen betalas skatteårsvis och beloppet motsvarar 11,25 procentenheter av den andel av den debiterade samfundsskatten som för respektive skatteår återförs till Åland i form av skatteavräkning enligt 49 § i självstyrelselagen (1991:71) för Åland."</a:t>
          </a:r>
        </a:p>
        <a:p>
          <a:r>
            <a:rPr lang="sv-FI" sz="1100" baseline="0"/>
            <a:t>7) 3.358.092 har kalkylerats som det belopp som enligt 3 § </a:t>
          </a:r>
          <a:r>
            <a:rPr lang="sv-FI" sz="1100" baseline="0">
              <a:solidFill>
                <a:schemeClr val="dk1"/>
              </a:solidFill>
              <a:effectLst/>
              <a:latin typeface="+mn-lt"/>
              <a:ea typeface="+mn-ea"/>
              <a:cs typeface="+mn-cs"/>
            </a:rPr>
            <a:t>LL (2023:5) om kompensation till kommunerna för sänkta samfundsskatteintäkter ska fördelas som förskott på kompensationen till kommunerna för skatteår 2023. Beloppet utgör 11,25 delar av 76,09 multiplicerat med 22.712.642 euro (se punkt 4). Beräkningen är avrundad till hela euro.</a:t>
          </a:r>
        </a:p>
        <a:p>
          <a:r>
            <a:rPr lang="sv-FI" sz="1100" baseline="0">
              <a:solidFill>
                <a:schemeClr val="dk1"/>
              </a:solidFill>
              <a:effectLst/>
              <a:latin typeface="+mn-lt"/>
              <a:ea typeface="+mn-ea"/>
              <a:cs typeface="+mn-cs"/>
            </a:rPr>
            <a:t>8) Se LL (2023:5) om kompensation till kommunerna för sänkta samfundsskatteintäkter. Det förskottsbelopp på kompensationen som betalas till kommunerna (se punkt 7) under år 2023 kommer att avräknas (slutregleras) när beskattningen för år 2023 är slutförd (kring sista oktober 2024) och beloppet för den samfundsskatt som debiterats på Åland blir känd. ÅD kan då fatta beslut om det slutliga beloppet för skatteavräkningen för skatteår 2023. Landskapsegeringen kan då fastställa det slutliga kompensationsbeloppet till kommunerna och jämföra det mot förskottsbeloppet som betalats till respektive kommun. Om förskottsbeloppet är lägre än det slutliga kompensationsbeloppet betalas mellanskillnaden till respektive kommun och om förskottsbeloppet varit för högt avdras mellanskillnaden från respektive kommun. Slutregleringen för skatteår 2023 torde kunna verkställas i början av år 2025.</a:t>
          </a:r>
          <a:endParaRPr lang="sv-FI" sz="1100"/>
        </a:p>
      </xdr:txBody>
    </xdr:sp>
    <xdr:clientData/>
  </xdr:twoCellAnchor>
  <xdr:twoCellAnchor editAs="oneCell">
    <xdr:from>
      <xdr:col>7</xdr:col>
      <xdr:colOff>0</xdr:colOff>
      <xdr:row>64</xdr:row>
      <xdr:rowOff>0</xdr:rowOff>
    </xdr:from>
    <xdr:to>
      <xdr:col>16</xdr:col>
      <xdr:colOff>160444</xdr:colOff>
      <xdr:row>88</xdr:row>
      <xdr:rowOff>638</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8862391" y="18080935"/>
          <a:ext cx="7192379" cy="4572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xdr:colOff>
      <xdr:row>16</xdr:row>
      <xdr:rowOff>20955</xdr:rowOff>
    </xdr:from>
    <xdr:to>
      <xdr:col>23</xdr:col>
      <xdr:colOff>74295</xdr:colOff>
      <xdr:row>30</xdr:row>
      <xdr:rowOff>171450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15674340" y="4869180"/>
          <a:ext cx="4145280" cy="2998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a:t>
          </a:r>
          <a:r>
            <a:rPr lang="sv-FI" sz="1100" baseline="0">
              <a:solidFill>
                <a:schemeClr val="dk1"/>
              </a:solidFill>
              <a:effectLst/>
              <a:latin typeface="+mn-lt"/>
              <a:ea typeface="+mn-ea"/>
              <a:cs typeface="+mn-cs"/>
            </a:rPr>
            <a:t> kommun ska</a:t>
          </a:r>
          <a:r>
            <a:rPr lang="sv-FI" sz="1100">
              <a:solidFill>
                <a:schemeClr val="dk1"/>
              </a:solidFill>
              <a:effectLst/>
              <a:latin typeface="+mn-lt"/>
              <a:ea typeface="+mn-ea"/>
              <a:cs typeface="+mn-cs"/>
            </a:rPr>
            <a:t> senaste</a:t>
          </a:r>
          <a:r>
            <a:rPr lang="sv-FI" sz="1100" baseline="0">
              <a:solidFill>
                <a:schemeClr val="dk1"/>
              </a:solidFill>
              <a:effectLst/>
              <a:latin typeface="+mn-lt"/>
              <a:ea typeface="+mn-ea"/>
              <a:cs typeface="+mn-cs"/>
            </a:rPr>
            <a:t> kända </a:t>
          </a:r>
          <a:r>
            <a:rPr lang="sv-FI" sz="1100">
              <a:solidFill>
                <a:schemeClr val="dk1"/>
              </a:solidFill>
              <a:effectLst/>
              <a:latin typeface="+mn-lt"/>
              <a:ea typeface="+mn-ea"/>
              <a:cs typeface="+mn-cs"/>
            </a:rPr>
            <a:t>statistikuppgifter (torde bli 2021 års beskattning</a:t>
          </a:r>
          <a:r>
            <a:rPr lang="sv-FI" sz="1100" baseline="0">
              <a:solidFill>
                <a:schemeClr val="dk1"/>
              </a:solidFill>
              <a:effectLst/>
              <a:latin typeface="+mn-lt"/>
              <a:ea typeface="+mn-ea"/>
              <a:cs typeface="+mn-cs"/>
            </a:rPr>
            <a:t>) beaktas samt senaste inkomstskattesats (för år 2023).</a:t>
          </a:r>
          <a:endParaRPr lang="sv-FI">
            <a:effectLst/>
          </a:endParaRPr>
        </a:p>
        <a:p>
          <a:endParaRPr lang="sv-FI" sz="1100" baseline="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När beskattningen för år 2023 är slutförd kan det slutliga kompensationsbeloppet om 70 % av inkomstborfall till följd av grundavdraget beräknas och en avräkning görs i förhållande till det belopp som fördelats ut som förskott under år 2023.</a:t>
          </a:r>
          <a:endParaRPr lang="sv-FI">
            <a:effectLst/>
          </a:endParaRPr>
        </a:p>
        <a:p>
          <a:endParaRPr lang="sv-FI" sz="110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a:effectLst/>
          </a:endParaRPr>
        </a:p>
        <a:p>
          <a:endParaRPr lang="sv-F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9525</xdr:colOff>
      <xdr:row>16</xdr:row>
      <xdr:rowOff>3808</xdr:rowOff>
    </xdr:from>
    <xdr:to>
      <xdr:col>25</xdr:col>
      <xdr:colOff>581025</xdr:colOff>
      <xdr:row>33</xdr:row>
      <xdr:rowOff>171450</xdr:rowOff>
    </xdr:to>
    <xdr:sp macro="" textlink="">
      <xdr:nvSpPr>
        <xdr:cNvPr id="2" name="textruta 1">
          <a:extLst>
            <a:ext uri="{FF2B5EF4-FFF2-40B4-BE49-F238E27FC236}">
              <a16:creationId xmlns:a16="http://schemas.microsoft.com/office/drawing/2014/main" id="{00000000-0008-0000-0700-000002000000}"/>
            </a:ext>
          </a:extLst>
        </xdr:cNvPr>
        <xdr:cNvSpPr txBox="1"/>
      </xdr:nvSpPr>
      <xdr:spPr>
        <a:xfrm>
          <a:off x="19364325" y="5042533"/>
          <a:ext cx="5381625" cy="356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2021 års beskattning</a:t>
          </a:r>
          <a:r>
            <a:rPr lang="sv-FI" sz="1100" baseline="0"/>
            <a:t>) beaktas samt senaste inkomstskattesats (för år 2023).</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2023 är slutförd kan det slutliga kompensationsbeloppet om 70 % av inkomstborfall till följd av resekostnadsavdraget beräknas och en avräkning görs i förhållande till det belopp som fördelats ut som förskott under år 2023.</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26</xdr:row>
      <xdr:rowOff>185737</xdr:rowOff>
    </xdr:from>
    <xdr:to>
      <xdr:col>3</xdr:col>
      <xdr:colOff>114300</xdr:colOff>
      <xdr:row>41</xdr:row>
      <xdr:rowOff>71437</xdr:rowOff>
    </xdr:to>
    <xdr:graphicFrame macro="">
      <xdr:nvGraphicFramePr>
        <xdr:cNvPr id="4" name="Diagram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10</xdr:col>
      <xdr:colOff>342900</xdr:colOff>
      <xdr:row>41</xdr:row>
      <xdr:rowOff>76200</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xdr:colOff>
      <xdr:row>142</xdr:row>
      <xdr:rowOff>45720</xdr:rowOff>
    </xdr:from>
    <xdr:to>
      <xdr:col>5</xdr:col>
      <xdr:colOff>619125</xdr:colOff>
      <xdr:row>144</xdr:row>
      <xdr:rowOff>121920</xdr:rowOff>
    </xdr:to>
    <xdr:sp macro="" textlink="">
      <xdr:nvSpPr>
        <xdr:cNvPr id="2" name="textruta 1">
          <a:extLst>
            <a:ext uri="{FF2B5EF4-FFF2-40B4-BE49-F238E27FC236}">
              <a16:creationId xmlns:a16="http://schemas.microsoft.com/office/drawing/2014/main" id="{00000000-0008-0000-0D00-000002000000}"/>
            </a:ext>
          </a:extLst>
        </xdr:cNvPr>
        <xdr:cNvSpPr txBox="1"/>
      </xdr:nvSpPr>
      <xdr:spPr>
        <a:xfrm>
          <a:off x="7619" y="27763470"/>
          <a:ext cx="5402581" cy="457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a:t>23 § Justering av uppräkningsfaktorn</a:t>
          </a:r>
        </a:p>
        <a:p>
          <a:r>
            <a:rPr lang="sv-FI"/>
            <a:t>Kompletteringsandelen</a:t>
          </a:r>
          <a:r>
            <a:rPr lang="sv-FI" baseline="0"/>
            <a:t> ska vara </a:t>
          </a:r>
          <a:r>
            <a:rPr lang="sv-FI" baseline="0">
              <a:solidFill>
                <a:sysClr val="windowText" lastClr="000000"/>
              </a:solidFill>
            </a:rPr>
            <a:t>33-50 %. A</a:t>
          </a:r>
          <a:r>
            <a:rPr lang="sv-FI" sz="1100">
              <a:solidFill>
                <a:schemeClr val="dk1"/>
              </a:solidFill>
              <a:effectLst/>
              <a:latin typeface="+mn-lt"/>
              <a:ea typeface="+mn-ea"/>
              <a:cs typeface="+mn-cs"/>
            </a:rPr>
            <a:t>lla</a:t>
          </a:r>
          <a:r>
            <a:rPr lang="sv-FI" sz="1100" baseline="0">
              <a:solidFill>
                <a:schemeClr val="dk1"/>
              </a:solidFill>
              <a:effectLst/>
              <a:latin typeface="+mn-lt"/>
              <a:ea typeface="+mn-ea"/>
              <a:cs typeface="+mn-cs"/>
            </a:rPr>
            <a:t> kommuner kan inte få skattekomplettering. </a:t>
          </a:r>
          <a:endParaRPr lang="sv-FI">
            <a:solidFill>
              <a:sysClr val="windowText" lastClr="000000"/>
            </a:solidFill>
          </a:endParaRPr>
        </a:p>
      </xdr:txBody>
    </xdr:sp>
    <xdr:clientData/>
  </xdr:twoCellAnchor>
  <xdr:twoCellAnchor>
    <xdr:from>
      <xdr:col>12</xdr:col>
      <xdr:colOff>404089</xdr:colOff>
      <xdr:row>91</xdr:row>
      <xdr:rowOff>51057</xdr:rowOff>
    </xdr:from>
    <xdr:to>
      <xdr:col>19</xdr:col>
      <xdr:colOff>717837</xdr:colOff>
      <xdr:row>108</xdr:row>
      <xdr:rowOff>85724</xdr:rowOff>
    </xdr:to>
    <xdr:grpSp>
      <xdr:nvGrpSpPr>
        <xdr:cNvPr id="7" name="Grupp 6">
          <a:extLst>
            <a:ext uri="{FF2B5EF4-FFF2-40B4-BE49-F238E27FC236}">
              <a16:creationId xmlns:a16="http://schemas.microsoft.com/office/drawing/2014/main" id="{00000000-0008-0000-0D00-000007000000}"/>
            </a:ext>
          </a:extLst>
        </xdr:cNvPr>
        <xdr:cNvGrpSpPr/>
      </xdr:nvGrpSpPr>
      <xdr:grpSpPr>
        <a:xfrm>
          <a:off x="11672164" y="17929482"/>
          <a:ext cx="5800148" cy="3273167"/>
          <a:chOff x="9802320" y="19810266"/>
          <a:chExt cx="4588618" cy="2687582"/>
        </a:xfrm>
      </xdr:grpSpPr>
      <xdr:graphicFrame macro="">
        <xdr:nvGraphicFramePr>
          <xdr:cNvPr id="3" name="Diagram 2">
            <a:extLst>
              <a:ext uri="{FF2B5EF4-FFF2-40B4-BE49-F238E27FC236}">
                <a16:creationId xmlns:a16="http://schemas.microsoft.com/office/drawing/2014/main" id="{00000000-0008-0000-0D00-000003000000}"/>
              </a:ext>
            </a:extLst>
          </xdr:cNvPr>
          <xdr:cNvGraphicFramePr/>
        </xdr:nvGraphicFramePr>
        <xdr:xfrm>
          <a:off x="9802320" y="19810266"/>
          <a:ext cx="4588618" cy="268758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Rak koppling 4">
            <a:extLst>
              <a:ext uri="{FF2B5EF4-FFF2-40B4-BE49-F238E27FC236}">
                <a16:creationId xmlns:a16="http://schemas.microsoft.com/office/drawing/2014/main" id="{00000000-0008-0000-0D00-000005000000}"/>
              </a:ext>
            </a:extLst>
          </xdr:cNvPr>
          <xdr:cNvCxnSpPr/>
        </xdr:nvCxnSpPr>
        <xdr:spPr>
          <a:xfrm flipV="1">
            <a:off x="9985176" y="20518443"/>
            <a:ext cx="3874858" cy="21329"/>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25976</xdr:colOff>
      <xdr:row>231</xdr:row>
      <xdr:rowOff>179367</xdr:rowOff>
    </xdr:from>
    <xdr:to>
      <xdr:col>11</xdr:col>
      <xdr:colOff>550717</xdr:colOff>
      <xdr:row>256</xdr:row>
      <xdr:rowOff>38966</xdr:rowOff>
    </xdr:to>
    <xdr:pic>
      <xdr:nvPicPr>
        <xdr:cNvPr id="4" name="Bildobjekt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76" y="45362503"/>
          <a:ext cx="10906125" cy="467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201</xdr:row>
      <xdr:rowOff>0</xdr:rowOff>
    </xdr:from>
    <xdr:to>
      <xdr:col>14</xdr:col>
      <xdr:colOff>230365</xdr:colOff>
      <xdr:row>229</xdr:row>
      <xdr:rowOff>172189</xdr:rowOff>
    </xdr:to>
    <xdr:pic>
      <xdr:nvPicPr>
        <xdr:cNvPr id="10" name="Bildobjekt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a:stretch>
          <a:fillRect/>
        </a:stretch>
      </xdr:blipFill>
      <xdr:spPr>
        <a:xfrm>
          <a:off x="0" y="37861875"/>
          <a:ext cx="12650965" cy="5296639"/>
        </a:xfrm>
        <a:prstGeom prst="rect">
          <a:avLst/>
        </a:prstGeom>
      </xdr:spPr>
    </xdr:pic>
    <xdr:clientData/>
  </xdr:twoCellAnchor>
  <xdr:twoCellAnchor editAs="oneCell">
    <xdr:from>
      <xdr:col>0</xdr:col>
      <xdr:colOff>0</xdr:colOff>
      <xdr:row>258</xdr:row>
      <xdr:rowOff>0</xdr:rowOff>
    </xdr:from>
    <xdr:to>
      <xdr:col>14</xdr:col>
      <xdr:colOff>58958</xdr:colOff>
      <xdr:row>282</xdr:row>
      <xdr:rowOff>86406</xdr:rowOff>
    </xdr:to>
    <xdr:pic>
      <xdr:nvPicPr>
        <xdr:cNvPr id="9" name="Bildobjekt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a:stretch>
          <a:fillRect/>
        </a:stretch>
      </xdr:blipFill>
      <xdr:spPr>
        <a:xfrm>
          <a:off x="0" y="50187225"/>
          <a:ext cx="12955808" cy="48774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149</xdr:row>
      <xdr:rowOff>0</xdr:rowOff>
    </xdr:from>
    <xdr:to>
      <xdr:col>6</xdr:col>
      <xdr:colOff>476251</xdr:colOff>
      <xdr:row>173</xdr:row>
      <xdr:rowOff>15915</xdr:rowOff>
    </xdr:to>
    <xdr:pic>
      <xdr:nvPicPr>
        <xdr:cNvPr id="11" name="Bildobjekt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stretch>
          <a:fillRect/>
        </a:stretch>
      </xdr:blipFill>
      <xdr:spPr>
        <a:xfrm>
          <a:off x="1" y="10822781"/>
          <a:ext cx="6369844" cy="4923672"/>
        </a:xfrm>
        <a:prstGeom prst="rect">
          <a:avLst/>
        </a:prstGeom>
      </xdr:spPr>
    </xdr:pic>
    <xdr:clientData/>
  </xdr:twoCellAnchor>
  <xdr:twoCellAnchor editAs="oneCell">
    <xdr:from>
      <xdr:col>9</xdr:col>
      <xdr:colOff>0</xdr:colOff>
      <xdr:row>148</xdr:row>
      <xdr:rowOff>190499</xdr:rowOff>
    </xdr:from>
    <xdr:to>
      <xdr:col>19</xdr:col>
      <xdr:colOff>262124</xdr:colOff>
      <xdr:row>159</xdr:row>
      <xdr:rowOff>149224</xdr:rowOff>
    </xdr:to>
    <xdr:pic>
      <xdr:nvPicPr>
        <xdr:cNvPr id="26" name="Bildobjekt 25">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0969" y="10822780"/>
          <a:ext cx="6765318" cy="2226469"/>
        </a:xfrm>
        <a:prstGeom prst="rect">
          <a:avLst/>
        </a:prstGeom>
      </xdr:spPr>
    </xdr:pic>
    <xdr:clientData/>
  </xdr:twoCellAnchor>
  <xdr:twoCellAnchor editAs="oneCell">
    <xdr:from>
      <xdr:col>20</xdr:col>
      <xdr:colOff>0</xdr:colOff>
      <xdr:row>150</xdr:row>
      <xdr:rowOff>190499</xdr:rowOff>
    </xdr:from>
    <xdr:to>
      <xdr:col>28</xdr:col>
      <xdr:colOff>130969</xdr:colOff>
      <xdr:row>160</xdr:row>
      <xdr:rowOff>129104</xdr:rowOff>
    </xdr:to>
    <xdr:pic>
      <xdr:nvPicPr>
        <xdr:cNvPr id="28" name="Bildobjekt 27">
          <a:extLst>
            <a:ext uri="{FF2B5EF4-FFF2-40B4-BE49-F238E27FC236}">
              <a16:creationId xmlns:a16="http://schemas.microsoft.com/office/drawing/2014/main" id="{00000000-0008-0000-0E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40000" y="11203780"/>
          <a:ext cx="5417344" cy="2027755"/>
        </a:xfrm>
        <a:prstGeom prst="rect">
          <a:avLst/>
        </a:prstGeom>
      </xdr:spPr>
    </xdr:pic>
    <xdr:clientData/>
  </xdr:twoCellAnchor>
  <xdr:twoCellAnchor editAs="oneCell">
    <xdr:from>
      <xdr:col>19</xdr:col>
      <xdr:colOff>976311</xdr:colOff>
      <xdr:row>162</xdr:row>
      <xdr:rowOff>0</xdr:rowOff>
    </xdr:from>
    <xdr:to>
      <xdr:col>27</xdr:col>
      <xdr:colOff>244954</xdr:colOff>
      <xdr:row>167</xdr:row>
      <xdr:rowOff>15082</xdr:rowOff>
    </xdr:to>
    <xdr:pic>
      <xdr:nvPicPr>
        <xdr:cNvPr id="29" name="Bildobjekt 28">
          <a:extLst>
            <a:ext uri="{FF2B5EF4-FFF2-40B4-BE49-F238E27FC236}">
              <a16:creationId xmlns:a16="http://schemas.microsoft.com/office/drawing/2014/main" id="{00000000-0008-0000-0E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39999" y="13394531"/>
          <a:ext cx="5197955" cy="1023938"/>
        </a:xfrm>
        <a:prstGeom prst="rect">
          <a:avLst/>
        </a:prstGeom>
      </xdr:spPr>
    </xdr:pic>
    <xdr:clientData/>
  </xdr:twoCellAnchor>
  <xdr:twoCellAnchor editAs="oneCell">
    <xdr:from>
      <xdr:col>29</xdr:col>
      <xdr:colOff>-1</xdr:colOff>
      <xdr:row>152</xdr:row>
      <xdr:rowOff>0</xdr:rowOff>
    </xdr:from>
    <xdr:to>
      <xdr:col>36</xdr:col>
      <xdr:colOff>720869</xdr:colOff>
      <xdr:row>166</xdr:row>
      <xdr:rowOff>15081</xdr:rowOff>
    </xdr:to>
    <xdr:pic>
      <xdr:nvPicPr>
        <xdr:cNvPr id="30" name="Bildobjekt 29">
          <a:extLst>
            <a:ext uri="{FF2B5EF4-FFF2-40B4-BE49-F238E27FC236}">
              <a16:creationId xmlns:a16="http://schemas.microsoft.com/office/drawing/2014/main" id="{00000000-0008-0000-0E00-00001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flipV="1">
          <a:off x="21597937" y="11489531"/>
          <a:ext cx="5069032" cy="2845594"/>
        </a:xfrm>
        <a:prstGeom prst="rect">
          <a:avLst/>
        </a:prstGeom>
      </xdr:spPr>
    </xdr:pic>
    <xdr:clientData/>
  </xdr:twoCellAnchor>
  <xdr:twoCellAnchor editAs="oneCell">
    <xdr:from>
      <xdr:col>29</xdr:col>
      <xdr:colOff>-1</xdr:colOff>
      <xdr:row>168</xdr:row>
      <xdr:rowOff>190499</xdr:rowOff>
    </xdr:from>
    <xdr:to>
      <xdr:col>32</xdr:col>
      <xdr:colOff>720142</xdr:colOff>
      <xdr:row>184</xdr:row>
      <xdr:rowOff>154780</xdr:rowOff>
    </xdr:to>
    <xdr:pic>
      <xdr:nvPicPr>
        <xdr:cNvPr id="37" name="Bildobjekt 36">
          <a:extLst>
            <a:ext uri="{FF2B5EF4-FFF2-40B4-BE49-F238E27FC236}">
              <a16:creationId xmlns:a16="http://schemas.microsoft.com/office/drawing/2014/main" id="{00000000-0008-0000-0E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597937" y="14728030"/>
          <a:ext cx="2681499" cy="3107531"/>
        </a:xfrm>
        <a:prstGeom prst="rect">
          <a:avLst/>
        </a:prstGeom>
      </xdr:spPr>
    </xdr:pic>
    <xdr:clientData/>
  </xdr:twoCellAnchor>
  <xdr:twoCellAnchor editAs="oneCell">
    <xdr:from>
      <xdr:col>33</xdr:col>
      <xdr:colOff>0</xdr:colOff>
      <xdr:row>169</xdr:row>
      <xdr:rowOff>0</xdr:rowOff>
    </xdr:from>
    <xdr:to>
      <xdr:col>37</xdr:col>
      <xdr:colOff>380999</xdr:colOff>
      <xdr:row>188</xdr:row>
      <xdr:rowOff>130582</xdr:rowOff>
    </xdr:to>
    <xdr:pic>
      <xdr:nvPicPr>
        <xdr:cNvPr id="39" name="Bildobjekt 38">
          <a:extLst>
            <a:ext uri="{FF2B5EF4-FFF2-40B4-BE49-F238E27FC236}">
              <a16:creationId xmlns:a16="http://schemas.microsoft.com/office/drawing/2014/main" id="{00000000-0008-0000-0E00-00002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348281" y="14728031"/>
          <a:ext cx="2774156" cy="3827075"/>
        </a:xfrm>
        <a:prstGeom prst="rect">
          <a:avLst/>
        </a:prstGeom>
      </xdr:spPr>
    </xdr:pic>
    <xdr:clientData/>
  </xdr:twoCellAnchor>
  <xdr:twoCellAnchor editAs="oneCell">
    <xdr:from>
      <xdr:col>8</xdr:col>
      <xdr:colOff>357187</xdr:colOff>
      <xdr:row>161</xdr:row>
      <xdr:rowOff>0</xdr:rowOff>
    </xdr:from>
    <xdr:to>
      <xdr:col>19</xdr:col>
      <xdr:colOff>36469</xdr:colOff>
      <xdr:row>167</xdr:row>
      <xdr:rowOff>130969</xdr:rowOff>
    </xdr:to>
    <xdr:pic>
      <xdr:nvPicPr>
        <xdr:cNvPr id="41" name="Bildobjekt 4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750968" y="13204031"/>
          <a:ext cx="6542839" cy="1345406"/>
        </a:xfrm>
        <a:prstGeom prst="rect">
          <a:avLst/>
        </a:prstGeom>
      </xdr:spPr>
    </xdr:pic>
    <xdr:clientData/>
  </xdr:twoCellAnchor>
  <xdr:twoCellAnchor editAs="oneCell">
    <xdr:from>
      <xdr:col>53</xdr:col>
      <xdr:colOff>0</xdr:colOff>
      <xdr:row>154</xdr:row>
      <xdr:rowOff>202405</xdr:rowOff>
    </xdr:from>
    <xdr:to>
      <xdr:col>67</xdr:col>
      <xdr:colOff>516222</xdr:colOff>
      <xdr:row>169</xdr:row>
      <xdr:rowOff>154780</xdr:rowOff>
    </xdr:to>
    <xdr:pic>
      <xdr:nvPicPr>
        <xdr:cNvPr id="43" name="Bildobjekt 42">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9"/>
        <a:stretch>
          <a:fillRect/>
        </a:stretch>
      </xdr:blipFill>
      <xdr:spPr>
        <a:xfrm>
          <a:off x="40314563" y="12096749"/>
          <a:ext cx="11184222" cy="29884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12</xdr:col>
          <xdr:colOff>333375</xdr:colOff>
          <xdr:row>46</xdr:row>
          <xdr:rowOff>19050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C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10</xdr:col>
          <xdr:colOff>333375</xdr:colOff>
          <xdr:row>49</xdr:row>
          <xdr:rowOff>19050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D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ahosting.sharepoint.com/Finans/Lsandelar/&#197;r%202018/Grundskolan_eventuellt_fel/Redog&#246;relse_felaktigt_basbelopp_av_Dreyer_06082018.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dahosting-my.sharepoint.com/personal/nermin_mesic_regeringen_ax/Documents/Skrivbordet/LS%202025/2025/Kompensationer%20samfundsintektter%202025/Utanordning%20kompensation%20samfundsskatteint&#228;kter%202025%20(f&#246;rskott)%20samt,%20slutregleratreglering%20&#229;r%202023.xlsx" TargetMode="External"/><Relationship Id="rId2" Type="http://schemas.microsoft.com/office/2019/04/relationships/externalLinkLongPath" Target="https://adahosting-my.sharepoint.com/personal/nermin_mesic_regeringen_ax/Documents/Skrivbordet/LS%202025/LS%202025/2025/Kompensationer%20samfundsintektter%202025/Utanordning%20kompensation%20samfundsskatteint&#228;kter%202025%20(f&#246;rskott)%20samt,%20slutregleratreglering%20&#229;r%202023.xlsx?64CA749A" TargetMode="External"/><Relationship Id="rId1" Type="http://schemas.openxmlformats.org/officeDocument/2006/relationships/externalLinkPath" Target="file:///\\64CA749A\Utanordning%20kompensation%20samfundsskatteint&#228;kter%202025%20(f&#246;rskott)%20samt,%20slutregleratreglering%20&#229;r%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dahosting-my.sharepoint.com/personal/nermin_mesic_regeringen_ax/Documents/Skrivbordet/LS%202025/2025/Kompensation_f&#246;r_s&#228;nkta_samfundsskatteint&#228;kter_2023_slutreglering.xlsx" TargetMode="External"/><Relationship Id="rId1" Type="http://schemas.openxmlformats.org/officeDocument/2006/relationships/externalLinkPath" Target="https://adahosting.sharepoint.com/sites/KommunerFinansavdelningen/Delade%20dokument/1%20Landskapsandelar/Landskapsandelar%202025/Kompensation_f&#246;r_s&#228;nkta_samfundsskatteint&#228;kter_2023_slutregl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 Dreyer"/>
      <sheetName val="Våra noteringar"/>
      <sheetName val="BE001"/>
      <sheetName val="Blad2"/>
      <sheetName val="Blad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sandelar totalt 2018"/>
      <sheetName val="Lsandelar totalt 2019"/>
      <sheetName val="Lsandelar totalt 2020"/>
      <sheetName val="Lsandelar totalt 2021"/>
      <sheetName val="Lsandelar totalt 2022"/>
      <sheetName val="Lsandelar totalt 2023"/>
      <sheetName val="Sammanställning (utanordning)"/>
      <sheetName val="Br"/>
      <sheetName val="Ec"/>
      <sheetName val="Fi"/>
      <sheetName val="Fö"/>
      <sheetName val="Ge"/>
      <sheetName val="Ha"/>
      <sheetName val="Jo"/>
      <sheetName val="Ku"/>
      <sheetName val="Kö"/>
      <sheetName val="Le"/>
      <sheetName val="Lu"/>
      <sheetName val="Sa"/>
      <sheetName val="So"/>
      <sheetName val="Su"/>
      <sheetName val="Vå"/>
      <sheetName val="Ma"/>
      <sheetName val="Bila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mpensationsbelopp"/>
      <sheetName val="Fördelning till kommuner"/>
      <sheetName val="Kompbelopp (prel. slutreglerin)"/>
      <sheetName val="Slutregler. fördelning kommuner"/>
    </sheetNames>
    <sheetDataSet>
      <sheetData sheetId="0">
        <row r="25">
          <cell r="C25">
            <v>3358092</v>
          </cell>
        </row>
      </sheetData>
      <sheetData sheetId="1"/>
      <sheetData sheetId="2"/>
      <sheetData sheetId="3"/>
    </sheetDataSet>
  </externalBook>
</externalLink>
</file>

<file path=xl/theme/theme1.xml><?xml version="1.0" encoding="utf-8"?>
<a:theme xmlns:a="http://schemas.openxmlformats.org/drawingml/2006/main" name="Office-tema">
  <a:themeElements>
    <a:clrScheme name="LR - profil">
      <a:dk1>
        <a:srgbClr val="000000"/>
      </a:dk1>
      <a:lt1>
        <a:sysClr val="window" lastClr="FFFFFF"/>
      </a:lt1>
      <a:dk2>
        <a:srgbClr val="9D9D9D"/>
      </a:dk2>
      <a:lt2>
        <a:srgbClr val="DADADA"/>
      </a:lt2>
      <a:accent1>
        <a:srgbClr val="0064AE"/>
      </a:accent1>
      <a:accent2>
        <a:srgbClr val="DB0F16"/>
      </a:accent2>
      <a:accent3>
        <a:srgbClr val="FFD300"/>
      </a:accent3>
      <a:accent4>
        <a:srgbClr val="D78A7B"/>
      </a:accent4>
      <a:accent5>
        <a:srgbClr val="9EC1C6"/>
      </a:accent5>
      <a:accent6>
        <a:srgbClr val="9D9D9D"/>
      </a:accent6>
      <a:hlink>
        <a:srgbClr val="0064AE"/>
      </a:hlink>
      <a:folHlink>
        <a:srgbClr val="D78A7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eringen.ax/sites/www.regeringen.ax/files/attachments/law/afs2021_nr136.pdf" TargetMode="External"/><Relationship Id="rId1" Type="http://schemas.openxmlformats.org/officeDocument/2006/relationships/hyperlink" Target="https://www.lagtinget.ax/dokument/lagforslag-1-2020-2021-4826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eringen.ax/ekonomi/budget/budget-2021-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mbetsverket.ax/sites/www.ambetsverket.ax/files/ad_arenden/d_10_24_04_1_27.24_forskott_2025.pdf" TargetMode="External"/><Relationship Id="rId7" Type="http://schemas.openxmlformats.org/officeDocument/2006/relationships/hyperlink" Target="https://www.lagtinget.ax/dokument/lagforslag-52022-2023-52735" TargetMode="External"/><Relationship Id="rId2" Type="http://schemas.openxmlformats.org/officeDocument/2006/relationships/hyperlink" Target="https://www.lagtinget.ax/dokument/lagforslag-52022-2023-52735" TargetMode="External"/><Relationship Id="rId1" Type="http://schemas.openxmlformats.org/officeDocument/2006/relationships/hyperlink" Target="https://www.lagtinget.ax/dokument/lagforslag-11-2022-2023-53175" TargetMode="External"/><Relationship Id="rId6" Type="http://schemas.openxmlformats.org/officeDocument/2006/relationships/hyperlink" Target="https://www.lagtinget.ax/dokument/lagforslag-11-2022-2023-53175" TargetMode="External"/><Relationship Id="rId5" Type="http://schemas.openxmlformats.org/officeDocument/2006/relationships/hyperlink" Target="https://www.regeringen.ax/sites/default/files/attachments/law/afs2023_Nr5.pdf" TargetMode="External"/><Relationship Id="rId10" Type="http://schemas.openxmlformats.org/officeDocument/2006/relationships/vmlDrawing" Target="../drawings/vmlDrawing1.vml"/><Relationship Id="rId4" Type="http://schemas.openxmlformats.org/officeDocument/2006/relationships/hyperlink" Target="https://www.finlex.fi/sv/laki/ajantasa/1998/19980532?search%5Btype%5D=pika&amp;search%5Bpika%5D=lag%20om%20skatteredovisning"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regeringen.ax/sites/default/files/attachments/law/afs2023_Nr5.pdf" TargetMode="External"/><Relationship Id="rId2" Type="http://schemas.openxmlformats.org/officeDocument/2006/relationships/hyperlink" Target="https://www.finlex.fi/sv/laki/ajantasa/1998/19980532?search%5Btype%5D=pika&amp;search%5Bpika%5D=lag%20om%20skatteredovisning" TargetMode="External"/><Relationship Id="rId1" Type="http://schemas.openxmlformats.org/officeDocument/2006/relationships/hyperlink" Target="https://www.ambetsverket.ax/sites/www.ambetsverket.ax/files/ad_arenden/d_10_22_04_1_35.22_forskott_2023.pd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vero2.stat.fi/PXWeb/pxweb/sv/Vero/Vero__Henkiloasiakkaiden_tuloverot__lopulliset__alue__Verovuosi%202019/alue_104_2019.px/table/tableViewLayout1/?rxid=65a034ae-523c-4de8-a3f7-a0bef43e44f9"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vero2.stat.fi/PXWeb/pxweb/sv/Vero/Vero__Henkiloasiakkaiden_tuloverot__lopulliset__alue__Verovuosi%202021/alue_101_2021.px/?rxid=65a034ae-523c-4de8-a3f7-a0bef43e44f9" TargetMode="External"/><Relationship Id="rId1" Type="http://schemas.openxmlformats.org/officeDocument/2006/relationships/hyperlink" Target="http://vero2.stat.fi/PXWeb/pxweb/sv/Vero/Vero__Henkiloasiakkaiden_tuloverot__lopulliset__alue__Verovuosi%202019/alue_104_2019.px/table/tableViewLayout1/?rxid=65a034ae-523c-4de8-a3f7-a0bef43e44f9"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veronsaajat.vero.fi/sv-FI/Home/Other" TargetMode="External"/><Relationship Id="rId7" Type="http://schemas.openxmlformats.org/officeDocument/2006/relationships/comments" Target="../comments1.xml"/><Relationship Id="rId2" Type="http://schemas.openxmlformats.org/officeDocument/2006/relationships/hyperlink" Target="https://www.asub.ax/sv/offentlig-ekonomi-tabeller" TargetMode="External"/><Relationship Id="rId1" Type="http://schemas.openxmlformats.org/officeDocument/2006/relationships/hyperlink" Target="https://veronsaajat.vero.fi/sv-FI/Home/Other" TargetMode="External"/><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asub.ax/sv/statistik/prisindex-kommunala-basservicen-pa-aland-2024-preliminara-uppgifter" TargetMode="External"/><Relationship Id="rId7" Type="http://schemas.openxmlformats.org/officeDocument/2006/relationships/drawing" Target="../drawings/drawing9.xml"/><Relationship Id="rId2" Type="http://schemas.openxmlformats.org/officeDocument/2006/relationships/hyperlink" Target="https://www.asub.ax/sites/www.asub.ax/files/statistics/prisindex_for_den_kommunala_basservicen_2021.pdf" TargetMode="External"/><Relationship Id="rId1" Type="http://schemas.openxmlformats.org/officeDocument/2006/relationships/hyperlink" Target="https://www.asub.ax/sites/www.asub.ax/files/statistics/prisindex_for_den_kommunala_basservicen_2019.pdf" TargetMode="External"/><Relationship Id="rId6" Type="http://schemas.openxmlformats.org/officeDocument/2006/relationships/printerSettings" Target="../printerSettings/printerSettings14.bin"/><Relationship Id="rId5" Type="http://schemas.openxmlformats.org/officeDocument/2006/relationships/hyperlink" Target="https://www.asub.ax/sv/statistik/prisindex-kommunala-basservicen-pa-aland-2023-preliminara-uppgifter" TargetMode="External"/><Relationship Id="rId4" Type="http://schemas.openxmlformats.org/officeDocument/2006/relationships/hyperlink" Target="https://www.asub.ax/sv/statistik/prisindex-kommunala-basservicen-pa-aland-202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sub.ax/sv/befolkning-befolkningens-storlek-och-struktur-tabeller"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8.bin"/><Relationship Id="rId5" Type="http://schemas.openxmlformats.org/officeDocument/2006/relationships/image" Target="../media/image18.emf"/><Relationship Id="rId4" Type="http://schemas.openxmlformats.org/officeDocument/2006/relationships/oleObject" Target="../embeddings/oleObject1.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29.bin"/><Relationship Id="rId5" Type="http://schemas.openxmlformats.org/officeDocument/2006/relationships/image" Target="../media/image19.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3E3E5"/>
  </sheetPr>
  <dimension ref="A1:N42"/>
  <sheetViews>
    <sheetView workbookViewId="0">
      <selection activeCell="E33" sqref="E33"/>
    </sheetView>
  </sheetViews>
  <sheetFormatPr defaultColWidth="8.88671875" defaultRowHeight="15"/>
  <cols>
    <col min="1" max="1" width="11.33203125" style="311" customWidth="1"/>
    <col min="2" max="2" width="1.109375" style="311" customWidth="1"/>
    <col min="3" max="3" width="13.77734375" style="311" bestFit="1" customWidth="1"/>
    <col min="4" max="4" width="1.109375" style="311" customWidth="1"/>
    <col min="5" max="5" width="71.77734375" style="311" customWidth="1"/>
    <col min="6" max="16384" width="8.88671875" style="311"/>
  </cols>
  <sheetData>
    <row r="1" spans="1:7" ht="15.75">
      <c r="A1" s="11" t="s">
        <v>0</v>
      </c>
      <c r="B1" s="11"/>
      <c r="C1" s="11"/>
      <c r="D1" s="11"/>
      <c r="E1" s="876"/>
      <c r="F1" s="876"/>
      <c r="G1" s="876"/>
    </row>
    <row r="3" spans="1:7">
      <c r="A3" s="4" t="s">
        <v>1</v>
      </c>
      <c r="B3" s="4"/>
      <c r="C3" s="4" t="s">
        <v>2</v>
      </c>
      <c r="D3" s="4"/>
      <c r="E3" s="4" t="s">
        <v>3</v>
      </c>
      <c r="F3" s="4"/>
      <c r="G3" s="4"/>
    </row>
    <row r="4" spans="1:7">
      <c r="A4" s="877">
        <v>43626</v>
      </c>
      <c r="B4" s="877"/>
      <c r="C4" s="877" t="s">
        <v>4</v>
      </c>
      <c r="D4" s="877"/>
      <c r="E4" s="876" t="s">
        <v>5</v>
      </c>
      <c r="F4" s="876"/>
      <c r="G4" s="876"/>
    </row>
    <row r="5" spans="1:7">
      <c r="A5" s="876"/>
      <c r="B5" s="876"/>
      <c r="C5" s="876" t="s">
        <v>6</v>
      </c>
      <c r="D5" s="876"/>
      <c r="E5" s="876" t="s">
        <v>7</v>
      </c>
      <c r="F5" s="876"/>
      <c r="G5" s="876"/>
    </row>
    <row r="6" spans="1:7">
      <c r="A6" s="876"/>
      <c r="B6" s="876"/>
      <c r="C6" s="876" t="s">
        <v>8</v>
      </c>
      <c r="D6" s="876"/>
      <c r="E6" s="876" t="s">
        <v>9</v>
      </c>
      <c r="F6" s="876"/>
      <c r="G6" s="876"/>
    </row>
    <row r="7" spans="1:7">
      <c r="A7" s="876"/>
      <c r="B7" s="876"/>
      <c r="C7" s="876" t="s">
        <v>10</v>
      </c>
      <c r="D7" s="876"/>
      <c r="E7" s="876" t="s">
        <v>11</v>
      </c>
      <c r="F7" s="876"/>
      <c r="G7" s="876"/>
    </row>
    <row r="8" spans="1:7">
      <c r="A8" s="877">
        <v>43627</v>
      </c>
      <c r="B8" s="877"/>
      <c r="C8" s="876" t="s">
        <v>12</v>
      </c>
      <c r="D8" s="876"/>
      <c r="E8" s="876" t="s">
        <v>13</v>
      </c>
      <c r="F8" s="876"/>
      <c r="G8" s="876"/>
    </row>
    <row r="9" spans="1:7">
      <c r="A9" s="877">
        <v>43628</v>
      </c>
      <c r="B9" s="877"/>
      <c r="C9" s="876" t="s">
        <v>14</v>
      </c>
      <c r="D9" s="876"/>
      <c r="E9" s="876" t="s">
        <v>11</v>
      </c>
      <c r="F9" s="876"/>
      <c r="G9" s="876"/>
    </row>
    <row r="10" spans="1:7">
      <c r="A10" s="877">
        <v>43644</v>
      </c>
      <c r="B10" s="876"/>
      <c r="C10" s="876"/>
      <c r="D10" s="876"/>
      <c r="E10" s="876" t="s">
        <v>15</v>
      </c>
      <c r="F10" s="876"/>
      <c r="G10" s="876"/>
    </row>
    <row r="11" spans="1:7">
      <c r="A11" s="877">
        <v>43647</v>
      </c>
      <c r="B11" s="877"/>
      <c r="C11" s="876" t="s">
        <v>16</v>
      </c>
      <c r="D11" s="876"/>
      <c r="E11" s="876" t="s">
        <v>17</v>
      </c>
      <c r="F11" s="876"/>
      <c r="G11" s="876"/>
    </row>
    <row r="12" spans="1:7">
      <c r="A12" s="876"/>
      <c r="B12" s="876"/>
      <c r="C12" s="876"/>
      <c r="D12" s="876"/>
      <c r="E12" s="876" t="s">
        <v>18</v>
      </c>
      <c r="F12" s="876"/>
      <c r="G12" s="876"/>
    </row>
    <row r="13" spans="1:7">
      <c r="A13" s="876"/>
      <c r="B13" s="876"/>
      <c r="C13" s="876"/>
      <c r="D13" s="876"/>
      <c r="E13" s="876" t="s">
        <v>19</v>
      </c>
      <c r="F13" s="876"/>
      <c r="G13" s="876"/>
    </row>
    <row r="14" spans="1:7">
      <c r="A14" s="876"/>
      <c r="B14" s="876"/>
      <c r="C14" s="876"/>
      <c r="D14" s="876"/>
      <c r="E14" s="876" t="s">
        <v>20</v>
      </c>
      <c r="F14" s="876"/>
      <c r="G14" s="876"/>
    </row>
    <row r="15" spans="1:7">
      <c r="A15" s="876"/>
      <c r="B15" s="876"/>
      <c r="C15" s="876"/>
      <c r="D15" s="876"/>
      <c r="E15" s="876" t="s">
        <v>21</v>
      </c>
      <c r="F15" s="876"/>
      <c r="G15" s="876"/>
    </row>
    <row r="16" spans="1:7">
      <c r="A16" s="877">
        <v>43647</v>
      </c>
      <c r="B16" s="876"/>
      <c r="C16" s="876" t="s">
        <v>22</v>
      </c>
      <c r="D16" s="876"/>
      <c r="E16" s="876" t="s">
        <v>7</v>
      </c>
      <c r="F16" s="876"/>
      <c r="G16" s="876"/>
    </row>
    <row r="17" spans="1:5">
      <c r="A17" s="877">
        <v>43648</v>
      </c>
      <c r="B17" s="876"/>
      <c r="C17" s="876"/>
      <c r="D17" s="876"/>
      <c r="E17" s="876" t="s">
        <v>15</v>
      </c>
    </row>
    <row r="18" spans="1:5">
      <c r="A18" s="877">
        <v>43713</v>
      </c>
      <c r="B18" s="876"/>
      <c r="C18" s="876" t="s">
        <v>23</v>
      </c>
      <c r="D18" s="876"/>
      <c r="E18" s="876" t="s">
        <v>24</v>
      </c>
    </row>
    <row r="19" spans="1:5">
      <c r="A19" s="877">
        <v>43713</v>
      </c>
      <c r="B19" s="876"/>
      <c r="C19" s="876" t="s">
        <v>16</v>
      </c>
      <c r="D19" s="876"/>
      <c r="E19" s="876" t="s">
        <v>25</v>
      </c>
    </row>
    <row r="20" spans="1:5">
      <c r="A20" s="877">
        <v>43717</v>
      </c>
      <c r="B20" s="876"/>
      <c r="C20" s="876" t="s">
        <v>26</v>
      </c>
      <c r="D20" s="876"/>
      <c r="E20" s="876" t="s">
        <v>27</v>
      </c>
    </row>
    <row r="21" spans="1:5" ht="30">
      <c r="A21" s="877">
        <v>43717</v>
      </c>
      <c r="B21" s="876"/>
      <c r="C21" s="876" t="s">
        <v>28</v>
      </c>
      <c r="D21" s="876"/>
      <c r="E21" s="878" t="s">
        <v>29</v>
      </c>
    </row>
    <row r="22" spans="1:5">
      <c r="A22" s="877">
        <v>43717</v>
      </c>
      <c r="B22" s="876"/>
      <c r="C22" s="876" t="s">
        <v>16</v>
      </c>
      <c r="D22" s="876"/>
      <c r="E22" s="876" t="s">
        <v>30</v>
      </c>
    </row>
    <row r="23" spans="1:5">
      <c r="A23" s="877">
        <v>43717</v>
      </c>
      <c r="B23" s="876"/>
      <c r="C23" s="876" t="s">
        <v>31</v>
      </c>
      <c r="D23" s="876"/>
      <c r="E23" s="876" t="s">
        <v>32</v>
      </c>
    </row>
    <row r="24" spans="1:5">
      <c r="A24" s="877">
        <v>43720</v>
      </c>
      <c r="B24" s="876"/>
      <c r="C24" s="876" t="s">
        <v>28</v>
      </c>
      <c r="D24" s="876"/>
      <c r="E24" s="876" t="s">
        <v>33</v>
      </c>
    </row>
    <row r="25" spans="1:5">
      <c r="A25" s="877">
        <v>43783</v>
      </c>
      <c r="B25" s="876"/>
      <c r="C25" s="876" t="s">
        <v>23</v>
      </c>
      <c r="D25" s="876"/>
      <c r="E25" s="876" t="s">
        <v>34</v>
      </c>
    </row>
    <row r="26" spans="1:5" ht="30">
      <c r="A26" s="877">
        <v>43784</v>
      </c>
      <c r="B26" s="876"/>
      <c r="C26" s="876" t="s">
        <v>16</v>
      </c>
      <c r="D26" s="876"/>
      <c r="E26" s="878" t="s">
        <v>35</v>
      </c>
    </row>
    <row r="27" spans="1:5">
      <c r="A27" s="877"/>
      <c r="B27" s="876"/>
      <c r="C27" s="876"/>
      <c r="D27" s="876"/>
      <c r="E27" s="876" t="s">
        <v>36</v>
      </c>
    </row>
    <row r="28" spans="1:5">
      <c r="A28" s="877">
        <v>43784</v>
      </c>
      <c r="B28" s="876"/>
      <c r="C28" s="876" t="s">
        <v>14</v>
      </c>
      <c r="D28" s="876"/>
      <c r="E28" s="876" t="s">
        <v>37</v>
      </c>
    </row>
    <row r="29" spans="1:5">
      <c r="A29" s="876"/>
      <c r="B29" s="876"/>
      <c r="C29" s="876" t="s">
        <v>16</v>
      </c>
      <c r="D29" s="876"/>
      <c r="E29" s="876" t="s">
        <v>38</v>
      </c>
    </row>
    <row r="30" spans="1:5">
      <c r="A30" s="877">
        <v>43787</v>
      </c>
      <c r="B30" s="876"/>
      <c r="C30" s="876" t="s">
        <v>16</v>
      </c>
      <c r="D30" s="876"/>
      <c r="E30" s="876" t="s">
        <v>39</v>
      </c>
    </row>
    <row r="31" spans="1:5" ht="30">
      <c r="A31" s="877">
        <v>43797</v>
      </c>
      <c r="B31" s="876"/>
      <c r="C31" s="876" t="s">
        <v>40</v>
      </c>
      <c r="D31" s="876"/>
      <c r="E31" s="878" t="s">
        <v>41</v>
      </c>
    </row>
    <row r="32" spans="1:5" ht="30">
      <c r="A32" s="876"/>
      <c r="B32" s="876"/>
      <c r="C32" s="876" t="s">
        <v>26</v>
      </c>
      <c r="D32" s="876"/>
      <c r="E32" s="878" t="s">
        <v>42</v>
      </c>
    </row>
    <row r="33" spans="1:14" ht="30">
      <c r="A33" s="876"/>
      <c r="B33" s="876"/>
      <c r="C33" s="876" t="s">
        <v>31</v>
      </c>
      <c r="D33" s="876"/>
      <c r="E33" s="878" t="s">
        <v>42</v>
      </c>
      <c r="F33" s="876"/>
      <c r="G33" s="876"/>
      <c r="H33" s="876"/>
      <c r="I33" s="876"/>
      <c r="J33" s="876"/>
      <c r="K33" s="876"/>
      <c r="L33" s="876"/>
      <c r="M33" s="876"/>
      <c r="N33" s="876"/>
    </row>
    <row r="34" spans="1:14" ht="15.75">
      <c r="A34" s="876">
        <v>2021</v>
      </c>
      <c r="B34" s="876"/>
      <c r="C34" s="876"/>
      <c r="D34" s="876"/>
      <c r="E34" s="876" t="s">
        <v>43</v>
      </c>
      <c r="F34" s="876"/>
      <c r="G34" s="876"/>
      <c r="H34" s="876"/>
      <c r="I34" s="876"/>
      <c r="J34" s="876"/>
      <c r="K34" s="876"/>
      <c r="L34" s="876"/>
      <c r="M34" s="876"/>
      <c r="N34" s="417" t="s">
        <v>44</v>
      </c>
    </row>
    <row r="35" spans="1:14">
      <c r="A35" s="876">
        <v>2021</v>
      </c>
      <c r="B35" s="876"/>
      <c r="C35" s="876"/>
      <c r="D35" s="876"/>
      <c r="E35" s="876" t="s">
        <v>45</v>
      </c>
      <c r="F35" s="876"/>
      <c r="G35" s="876"/>
      <c r="H35" s="876"/>
      <c r="I35" s="876"/>
      <c r="J35" s="876"/>
      <c r="K35" s="876"/>
      <c r="L35" s="876"/>
      <c r="M35" s="876"/>
      <c r="N35" s="876"/>
    </row>
    <row r="36" spans="1:14">
      <c r="A36" s="876">
        <v>2021</v>
      </c>
      <c r="B36" s="876"/>
      <c r="C36" s="876"/>
      <c r="D36" s="876"/>
      <c r="E36" s="876" t="s">
        <v>46</v>
      </c>
      <c r="F36" s="876"/>
      <c r="G36" s="876"/>
      <c r="H36" s="876"/>
      <c r="I36" s="876"/>
      <c r="J36" s="876"/>
      <c r="K36" s="876"/>
      <c r="L36" s="876"/>
      <c r="M36" s="876"/>
      <c r="N36" s="876"/>
    </row>
    <row r="37" spans="1:14" ht="15.75">
      <c r="A37" s="876">
        <v>2021</v>
      </c>
      <c r="B37" s="876"/>
      <c r="C37" s="876"/>
      <c r="D37" s="876"/>
      <c r="E37" s="876" t="s">
        <v>47</v>
      </c>
      <c r="F37" s="417" t="s">
        <v>48</v>
      </c>
      <c r="G37" s="876"/>
      <c r="H37" s="876"/>
      <c r="I37" s="876"/>
      <c r="J37" s="876"/>
      <c r="K37" s="876"/>
      <c r="L37" s="876"/>
      <c r="M37" s="876"/>
      <c r="N37" s="876"/>
    </row>
    <row r="38" spans="1:14" ht="28.5" customHeight="1">
      <c r="A38" s="879" t="s">
        <v>49</v>
      </c>
      <c r="B38" s="879"/>
      <c r="C38" s="879"/>
      <c r="D38" s="879"/>
      <c r="E38" s="879" t="s">
        <v>50</v>
      </c>
      <c r="F38" s="879"/>
      <c r="G38" s="879"/>
      <c r="H38" s="876"/>
      <c r="I38" s="876"/>
      <c r="J38" s="876"/>
      <c r="K38" s="876"/>
      <c r="L38" s="876"/>
      <c r="M38" s="876"/>
      <c r="N38" s="876"/>
    </row>
    <row r="39" spans="1:14">
      <c r="A39" s="876"/>
      <c r="B39" s="876"/>
      <c r="C39" s="876"/>
      <c r="D39" s="876"/>
      <c r="E39" s="876"/>
      <c r="F39" s="876"/>
      <c r="G39" s="876"/>
      <c r="H39" s="876"/>
      <c r="I39" s="876"/>
      <c r="J39" s="876"/>
      <c r="K39" s="876"/>
      <c r="L39" s="876"/>
      <c r="M39" s="876"/>
      <c r="N39" s="876"/>
    </row>
    <row r="40" spans="1:14">
      <c r="A40" s="880">
        <v>2022</v>
      </c>
      <c r="B40" s="880"/>
      <c r="C40" s="880"/>
      <c r="D40" s="880"/>
      <c r="E40" s="880" t="s">
        <v>51</v>
      </c>
      <c r="F40" s="876"/>
      <c r="G40" s="876"/>
      <c r="H40" s="876"/>
      <c r="I40" s="876"/>
      <c r="J40" s="876"/>
      <c r="K40" s="876"/>
      <c r="L40" s="876"/>
      <c r="M40" s="876"/>
      <c r="N40" s="876"/>
    </row>
    <row r="41" spans="1:14">
      <c r="A41" s="880">
        <v>2022</v>
      </c>
      <c r="B41" s="880"/>
      <c r="C41" s="880"/>
      <c r="D41" s="880"/>
      <c r="E41" s="880" t="s">
        <v>52</v>
      </c>
      <c r="F41" s="876"/>
      <c r="G41" s="876"/>
      <c r="H41" s="876"/>
      <c r="I41" s="876"/>
      <c r="J41" s="876"/>
      <c r="K41" s="876"/>
      <c r="L41" s="876"/>
      <c r="M41" s="876"/>
      <c r="N41" s="876"/>
    </row>
    <row r="42" spans="1:14">
      <c r="A42" s="880">
        <v>2022</v>
      </c>
      <c r="B42" s="880"/>
      <c r="C42" s="880"/>
      <c r="D42" s="880"/>
      <c r="E42" s="880" t="s">
        <v>53</v>
      </c>
      <c r="F42" s="876"/>
      <c r="G42" s="876"/>
      <c r="H42" s="876"/>
      <c r="I42" s="876"/>
      <c r="J42" s="876"/>
      <c r="K42" s="876"/>
      <c r="L42" s="876"/>
      <c r="M42" s="876"/>
      <c r="N42" s="876"/>
    </row>
  </sheetData>
  <hyperlinks>
    <hyperlink ref="N34" r:id="rId1" display="https://www.lagtinget.ax/dokument/lagforslag-1-2020-2021-48269" xr:uid="{00000000-0004-0000-0000-000000000000}"/>
    <hyperlink ref="F37" r:id="rId2" display="https://www.regeringen.ax/sites/www.regeringen.ax/files/attachments/law/afs2021_nr136.pdf"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4B59-602C-47B8-9421-B1BAF31B1D9C}">
  <sheetPr>
    <tabColor rgb="FFD3E3E5"/>
  </sheetPr>
  <dimension ref="B2:F24"/>
  <sheetViews>
    <sheetView zoomScale="190" zoomScaleNormal="190" workbookViewId="0">
      <selection activeCell="E26" sqref="E26"/>
    </sheetView>
  </sheetViews>
  <sheetFormatPr defaultRowHeight="15"/>
  <sheetData>
    <row r="2" spans="2:6" ht="15.75" thickBot="1"/>
    <row r="3" spans="2:6" ht="18.75">
      <c r="B3" s="620" t="s">
        <v>54</v>
      </c>
      <c r="C3" s="621"/>
      <c r="D3" s="621"/>
      <c r="E3" s="621"/>
      <c r="F3" s="621"/>
    </row>
    <row r="4" spans="2:6" ht="15.75">
      <c r="B4" s="622" t="s">
        <v>55</v>
      </c>
      <c r="C4" s="623"/>
      <c r="D4" s="623"/>
      <c r="E4" s="623"/>
      <c r="F4" s="624"/>
    </row>
    <row r="5" spans="2:6" ht="18.75">
      <c r="B5" s="625"/>
      <c r="C5" s="626" t="s">
        <v>56</v>
      </c>
      <c r="D5" s="627" t="s">
        <v>57</v>
      </c>
      <c r="E5" s="627" t="s">
        <v>58</v>
      </c>
      <c r="F5" s="628"/>
    </row>
    <row r="6" spans="2:6" ht="24">
      <c r="B6" s="629" t="s">
        <v>59</v>
      </c>
      <c r="C6" s="630">
        <v>15468000</v>
      </c>
      <c r="D6" s="631">
        <v>15731000</v>
      </c>
      <c r="E6" s="630">
        <v>16200000</v>
      </c>
      <c r="F6" s="632"/>
    </row>
    <row r="7" spans="2:6" ht="24">
      <c r="B7" s="629" t="s">
        <v>60</v>
      </c>
      <c r="C7" s="630">
        <v>10489000</v>
      </c>
      <c r="D7" s="631">
        <v>9186000</v>
      </c>
      <c r="E7" s="630">
        <v>9760000</v>
      </c>
      <c r="F7" s="632"/>
    </row>
    <row r="8" spans="2:6" ht="24">
      <c r="B8" s="629" t="s">
        <v>61</v>
      </c>
      <c r="C8" s="630">
        <v>12100000</v>
      </c>
      <c r="D8" s="631">
        <v>13444000</v>
      </c>
      <c r="E8" s="630">
        <v>13934000</v>
      </c>
      <c r="F8" s="632"/>
    </row>
    <row r="9" spans="2:6">
      <c r="B9" s="629" t="s">
        <v>62</v>
      </c>
      <c r="C9" s="630">
        <v>477000</v>
      </c>
      <c r="D9" s="631">
        <v>498000</v>
      </c>
      <c r="E9" s="630">
        <v>520000</v>
      </c>
      <c r="F9" s="632"/>
    </row>
    <row r="10" spans="2:6" ht="24.75">
      <c r="B10" s="629" t="s">
        <v>63</v>
      </c>
      <c r="C10" s="630">
        <v>108000</v>
      </c>
      <c r="D10" s="633"/>
      <c r="E10" s="633"/>
      <c r="F10" s="634"/>
    </row>
    <row r="11" spans="2:6" ht="24.75">
      <c r="B11" s="629" t="s">
        <v>64</v>
      </c>
      <c r="C11" s="630">
        <v>300000</v>
      </c>
      <c r="D11" s="633">
        <v>0</v>
      </c>
      <c r="E11" s="633">
        <v>0</v>
      </c>
      <c r="F11" s="634"/>
    </row>
    <row r="12" spans="2:6" ht="36.75">
      <c r="B12" s="629" t="s">
        <v>65</v>
      </c>
      <c r="C12" s="630">
        <v>300000</v>
      </c>
      <c r="D12" s="633">
        <v>0</v>
      </c>
      <c r="E12" s="633">
        <v>0</v>
      </c>
      <c r="F12" s="634"/>
    </row>
    <row r="13" spans="2:6" ht="24.75">
      <c r="B13" s="635" t="s">
        <v>66</v>
      </c>
      <c r="C13" s="636"/>
      <c r="D13" s="636"/>
      <c r="E13" s="637">
        <v>47000</v>
      </c>
      <c r="F13" s="634"/>
    </row>
    <row r="14" spans="2:6" ht="15.75">
      <c r="B14" s="638" t="s">
        <v>67</v>
      </c>
      <c r="C14" s="639">
        <v>39242000</v>
      </c>
      <c r="D14" s="639">
        <v>38859000</v>
      </c>
      <c r="E14" s="639">
        <v>40461000</v>
      </c>
      <c r="F14" s="634"/>
    </row>
    <row r="15" spans="2:6" ht="15.75">
      <c r="B15" s="640"/>
      <c r="C15" s="641"/>
      <c r="D15" s="641"/>
      <c r="E15" s="641"/>
      <c r="F15" s="642"/>
    </row>
    <row r="16" spans="2:6" ht="16.5" thickBot="1">
      <c r="B16" s="622" t="s">
        <v>68</v>
      </c>
      <c r="C16" s="623"/>
      <c r="D16" s="623"/>
      <c r="E16" s="623"/>
      <c r="F16" s="624"/>
    </row>
    <row r="17" spans="2:6" ht="15.75">
      <c r="B17" s="643"/>
      <c r="C17" s="644"/>
      <c r="D17" s="644"/>
      <c r="E17" s="644"/>
      <c r="F17" s="645"/>
    </row>
    <row r="18" spans="2:6" ht="15.75">
      <c r="B18" s="646"/>
      <c r="C18" s="647"/>
      <c r="D18" s="647"/>
      <c r="E18" s="647"/>
      <c r="F18" s="648"/>
    </row>
    <row r="19" spans="2:6" ht="72.75">
      <c r="B19" s="646" t="s">
        <v>69</v>
      </c>
      <c r="C19" s="647">
        <v>0</v>
      </c>
      <c r="D19" s="649">
        <v>5000000</v>
      </c>
      <c r="E19" s="649">
        <v>5000000</v>
      </c>
      <c r="F19" s="648"/>
    </row>
    <row r="20" spans="2:6" ht="60.75">
      <c r="B20" s="646" t="s">
        <v>70</v>
      </c>
      <c r="C20" s="647"/>
      <c r="D20" s="649">
        <v>3300000</v>
      </c>
      <c r="E20" s="649">
        <v>3900000</v>
      </c>
      <c r="F20" s="648"/>
    </row>
    <row r="21" spans="2:6" ht="15.75">
      <c r="B21" s="650" t="s">
        <v>71</v>
      </c>
      <c r="C21" s="651">
        <v>0</v>
      </c>
      <c r="D21" s="652">
        <v>8300000</v>
      </c>
      <c r="E21" s="652">
        <v>8900000</v>
      </c>
      <c r="F21" s="648"/>
    </row>
    <row r="22" spans="2:6" ht="15.75">
      <c r="B22" s="653"/>
      <c r="C22" s="647"/>
      <c r="D22" s="647"/>
      <c r="E22" s="647"/>
      <c r="F22" s="648"/>
    </row>
    <row r="23" spans="2:6" ht="15.75">
      <c r="B23" s="654" t="s">
        <v>72</v>
      </c>
      <c r="C23" s="655">
        <v>39242000</v>
      </c>
      <c r="D23" s="655">
        <v>47159000</v>
      </c>
      <c r="E23" s="655">
        <v>49361000</v>
      </c>
      <c r="F23" s="648"/>
    </row>
    <row r="24" spans="2:6" ht="16.5" thickBot="1">
      <c r="B24" s="656"/>
      <c r="C24" s="657"/>
      <c r="D24" s="657"/>
      <c r="E24" s="657"/>
      <c r="F24" s="65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E3E5"/>
  </sheetPr>
  <dimension ref="A1:AE66"/>
  <sheetViews>
    <sheetView tabSelected="1" zoomScale="90" zoomScaleNormal="90" workbookViewId="0">
      <selection activeCell="B4" sqref="B4"/>
    </sheetView>
  </sheetViews>
  <sheetFormatPr defaultRowHeight="15"/>
  <cols>
    <col min="1" max="1" width="1.6640625" style="429" customWidth="1"/>
    <col min="2" max="2" width="15.77734375" customWidth="1"/>
    <col min="3" max="3" width="11.44140625" customWidth="1"/>
    <col min="4" max="4" width="9.33203125" customWidth="1"/>
    <col min="5" max="5" width="7.109375" customWidth="1"/>
    <col min="6" max="6" width="7.44140625" customWidth="1"/>
    <col min="7" max="7" width="6.33203125" customWidth="1"/>
    <col min="8" max="8" width="13.21875" customWidth="1"/>
    <col min="9" max="9" width="13.5546875" customWidth="1"/>
    <col min="10" max="10" width="12.6640625" customWidth="1"/>
    <col min="11" max="11" width="1.21875" customWidth="1"/>
    <col min="12" max="12" width="11.6640625" customWidth="1"/>
    <col min="13" max="13" width="13.21875" customWidth="1"/>
    <col min="14" max="14" width="12.33203125" customWidth="1"/>
    <col min="15" max="16" width="14.109375" customWidth="1"/>
    <col min="17" max="17" width="13.109375" customWidth="1"/>
    <col min="18" max="18" width="17.88671875" customWidth="1"/>
    <col min="19" max="19" width="11.88671875" customWidth="1"/>
    <col min="20" max="23" width="9.21875" style="429"/>
    <col min="25" max="25" width="9.77734375" customWidth="1"/>
    <col min="26" max="26" width="20.44140625" customWidth="1"/>
    <col min="28" max="30" width="9.21875" style="429"/>
  </cols>
  <sheetData>
    <row r="1" spans="2:31" s="429" customFormat="1" ht="15.75">
      <c r="B1" s="592" t="s">
        <v>73</v>
      </c>
    </row>
    <row r="2" spans="2:31" s="429" customFormat="1"/>
    <row r="3" spans="2:31" s="429" customFormat="1" ht="16.5" thickBot="1">
      <c r="B3" s="593" t="s">
        <v>74</v>
      </c>
      <c r="D3" s="594"/>
    </row>
    <row r="4" spans="2:31" s="429" customFormat="1" ht="20.25">
      <c r="B4" s="593"/>
      <c r="D4" s="594" t="s">
        <v>615</v>
      </c>
      <c r="X4" s="595"/>
      <c r="Y4" s="596"/>
      <c r="Z4" s="597" t="s">
        <v>75</v>
      </c>
    </row>
    <row r="5" spans="2:31" s="429" customFormat="1" ht="21" thickBot="1">
      <c r="B5" s="598"/>
      <c r="D5" s="599"/>
      <c r="G5" s="600"/>
      <c r="H5" s="600"/>
      <c r="I5" s="600"/>
      <c r="J5" s="600"/>
      <c r="K5" s="600"/>
      <c r="L5" s="600"/>
      <c r="M5" s="600"/>
      <c r="N5" s="600"/>
      <c r="O5" s="600"/>
      <c r="P5" s="600"/>
      <c r="Q5" s="600"/>
      <c r="X5" s="429">
        <v>2024</v>
      </c>
      <c r="Y5" s="429">
        <v>2025</v>
      </c>
      <c r="Z5" s="601" t="s">
        <v>76</v>
      </c>
    </row>
    <row r="6" spans="2:31" ht="87" customHeight="1" thickBot="1">
      <c r="B6" s="583"/>
      <c r="C6" s="584" t="s">
        <v>77</v>
      </c>
      <c r="D6" s="584" t="s">
        <v>78</v>
      </c>
      <c r="E6" s="584"/>
      <c r="F6" s="584" t="s">
        <v>79</v>
      </c>
      <c r="G6" s="584" t="s">
        <v>80</v>
      </c>
      <c r="H6" s="584" t="s">
        <v>81</v>
      </c>
      <c r="I6" s="584" t="s">
        <v>82</v>
      </c>
      <c r="J6" s="584" t="s">
        <v>83</v>
      </c>
      <c r="K6" s="585"/>
      <c r="L6" s="1126" t="s">
        <v>674</v>
      </c>
      <c r="M6" s="585" t="s">
        <v>629</v>
      </c>
      <c r="N6" s="585" t="s">
        <v>669</v>
      </c>
      <c r="O6" s="575" t="s">
        <v>86</v>
      </c>
      <c r="P6" s="576" t="s">
        <v>87</v>
      </c>
      <c r="Q6" s="576" t="s">
        <v>88</v>
      </c>
      <c r="R6" s="577" t="s">
        <v>89</v>
      </c>
      <c r="S6" s="576"/>
      <c r="X6" s="87" t="s">
        <v>90</v>
      </c>
      <c r="Y6" s="87" t="s">
        <v>90</v>
      </c>
      <c r="Z6" s="555" t="s">
        <v>91</v>
      </c>
      <c r="AA6" s="576"/>
      <c r="AE6" s="419" t="s">
        <v>92</v>
      </c>
    </row>
    <row r="7" spans="2:31" ht="21">
      <c r="B7" s="586" t="s">
        <v>93</v>
      </c>
      <c r="C7" s="881">
        <f>'Lsandelar totalt'!O7</f>
        <v>702761.52928000002</v>
      </c>
      <c r="D7" s="882"/>
      <c r="E7" s="882"/>
      <c r="F7" s="882"/>
      <c r="G7" s="882"/>
      <c r="H7" s="882">
        <f>'Kompensationer år 2025'!D194</f>
        <v>64916.35720477927</v>
      </c>
      <c r="I7" s="882">
        <f>'Kompensationer år 2025'!E194</f>
        <v>11506.305234606669</v>
      </c>
      <c r="J7" s="882">
        <f>'Kompensationer år 2025'!G194</f>
        <v>83190.967999999993</v>
      </c>
      <c r="K7" s="883"/>
      <c r="L7" s="883">
        <v>21430.29</v>
      </c>
      <c r="M7" s="883">
        <v>1602.386577666648</v>
      </c>
      <c r="N7" s="883">
        <v>1759.5565686900809</v>
      </c>
      <c r="O7" s="574">
        <f t="shared" ref="O7:O22" si="0">SUM(C7)</f>
        <v>702761.52928000002</v>
      </c>
      <c r="P7" s="574">
        <f>SUM(C7:N7)</f>
        <v>887167.39286574279</v>
      </c>
      <c r="Q7" s="574"/>
      <c r="R7" s="579">
        <f t="shared" ref="R7:R22" si="1">P7/AE7</f>
        <v>2034.7875983159238</v>
      </c>
      <c r="S7" s="581" t="s">
        <v>93</v>
      </c>
      <c r="X7" s="784">
        <v>939746.24</v>
      </c>
      <c r="Y7" s="884">
        <f>P7</f>
        <v>887167.39286574279</v>
      </c>
      <c r="Z7" s="559">
        <f t="shared" ref="Z7:Z21" si="2">Y7-X7</f>
        <v>-52578.847134257201</v>
      </c>
      <c r="AA7" s="581" t="s">
        <v>93</v>
      </c>
      <c r="AE7" s="418">
        <v>436</v>
      </c>
    </row>
    <row r="8" spans="2:31" ht="21">
      <c r="B8" s="586" t="s">
        <v>94</v>
      </c>
      <c r="C8" s="881">
        <f>'Lsandelar totalt'!O8</f>
        <v>2131621.2602200001</v>
      </c>
      <c r="D8" s="882"/>
      <c r="E8" s="882"/>
      <c r="F8" s="882"/>
      <c r="G8" s="882"/>
      <c r="H8" s="882">
        <f>'Kompensationer år 2025'!D195</f>
        <v>143836.62914345882</v>
      </c>
      <c r="I8" s="882">
        <f>'Kompensationer år 2025'!E195</f>
        <v>70179.812468969583</v>
      </c>
      <c r="J8" s="882">
        <f>'Kompensationer år 2025'!G195</f>
        <v>36666.587</v>
      </c>
      <c r="K8" s="883"/>
      <c r="L8" s="883">
        <v>6027.33</v>
      </c>
      <c r="M8" s="883">
        <v>2729.0920225281589</v>
      </c>
      <c r="N8" s="883">
        <v>5781.8140809565666</v>
      </c>
      <c r="O8" s="574">
        <f t="shared" si="0"/>
        <v>2131621.2602200001</v>
      </c>
      <c r="P8" s="574">
        <f t="shared" ref="P8:P21" si="3">SUM(C8:N8)</f>
        <v>2396842.5249359128</v>
      </c>
      <c r="Q8" s="574"/>
      <c r="R8" s="579">
        <f t="shared" si="1"/>
        <v>2544.418816280162</v>
      </c>
      <c r="S8" s="581" t="s">
        <v>94</v>
      </c>
      <c r="X8" s="784">
        <v>2278151.1839999999</v>
      </c>
      <c r="Y8" s="884">
        <f t="shared" ref="Y8:Y22" si="4">P8</f>
        <v>2396842.5249359128</v>
      </c>
      <c r="Z8" s="559">
        <f t="shared" si="2"/>
        <v>118691.34093591291</v>
      </c>
      <c r="AA8" s="581" t="s">
        <v>94</v>
      </c>
      <c r="AE8" s="418">
        <v>942</v>
      </c>
    </row>
    <row r="9" spans="2:31" ht="21">
      <c r="B9" s="586" t="s">
        <v>95</v>
      </c>
      <c r="C9" s="881">
        <f>'Lsandelar totalt'!O9</f>
        <v>4694374.6035599988</v>
      </c>
      <c r="D9" s="882"/>
      <c r="E9" s="882"/>
      <c r="F9" s="882"/>
      <c r="G9" s="882"/>
      <c r="H9" s="882">
        <f>'Kompensationer år 2025'!D196</f>
        <v>396818.68666014349</v>
      </c>
      <c r="I9" s="882">
        <f>'Kompensationer år 2025'!E196</f>
        <v>150177.48409556088</v>
      </c>
      <c r="J9" s="882">
        <f>'Kompensationer år 2025'!G196</f>
        <v>193096.38800000001</v>
      </c>
      <c r="K9" s="883"/>
      <c r="L9" s="883">
        <v>44975.85</v>
      </c>
      <c r="M9" s="883">
        <v>15333.292990552378</v>
      </c>
      <c r="N9" s="883">
        <v>61949.78635592357</v>
      </c>
      <c r="O9" s="574">
        <f t="shared" si="0"/>
        <v>4694374.6035599988</v>
      </c>
      <c r="P9" s="574">
        <f t="shared" si="3"/>
        <v>5556726.0916621797</v>
      </c>
      <c r="Q9" s="574"/>
      <c r="R9" s="579">
        <f t="shared" si="1"/>
        <v>2129.0138282230573</v>
      </c>
      <c r="S9" s="581" t="s">
        <v>95</v>
      </c>
      <c r="X9" s="784">
        <v>4896761.4550000001</v>
      </c>
      <c r="Y9" s="884">
        <f t="shared" si="4"/>
        <v>5556726.0916621797</v>
      </c>
      <c r="Z9" s="559">
        <f t="shared" si="2"/>
        <v>659964.6366621796</v>
      </c>
      <c r="AA9" s="581" t="s">
        <v>95</v>
      </c>
      <c r="AE9" s="418">
        <v>2610</v>
      </c>
    </row>
    <row r="10" spans="2:31" ht="21">
      <c r="B10" s="586" t="s">
        <v>96</v>
      </c>
      <c r="C10" s="881">
        <f>'Lsandelar totalt'!O10</f>
        <v>1536969.7114799998</v>
      </c>
      <c r="D10" s="882"/>
      <c r="E10" s="882"/>
      <c r="F10" s="882"/>
      <c r="G10" s="882"/>
      <c r="H10" s="882">
        <f>'Kompensationer år 2025'!D197</f>
        <v>78078.539819993995</v>
      </c>
      <c r="I10" s="882">
        <f>'Kompensationer år 2025'!E197</f>
        <v>20126.794134718086</v>
      </c>
      <c r="J10" s="882">
        <f>'Kompensationer år 2025'!G197</f>
        <v>73431.451000000001</v>
      </c>
      <c r="K10" s="883"/>
      <c r="L10" s="883">
        <v>13887.62</v>
      </c>
      <c r="M10" s="883">
        <v>954.42650138771205</v>
      </c>
      <c r="N10" s="883">
        <v>5353.7734433187288</v>
      </c>
      <c r="O10" s="574">
        <f t="shared" si="0"/>
        <v>1536969.7114799998</v>
      </c>
      <c r="P10" s="574">
        <f t="shared" si="3"/>
        <v>1728802.3163794184</v>
      </c>
      <c r="Q10" s="574"/>
      <c r="R10" s="580">
        <f t="shared" si="1"/>
        <v>3396.4682050676197</v>
      </c>
      <c r="S10" s="581" t="s">
        <v>96</v>
      </c>
      <c r="X10" s="784">
        <v>1638169</v>
      </c>
      <c r="Y10" s="884">
        <f t="shared" si="4"/>
        <v>1728802.3163794184</v>
      </c>
      <c r="Z10" s="559">
        <f t="shared" si="2"/>
        <v>90633.316379418364</v>
      </c>
      <c r="AA10" s="581" t="s">
        <v>96</v>
      </c>
      <c r="AE10" s="418">
        <v>509</v>
      </c>
    </row>
    <row r="11" spans="2:31" ht="21">
      <c r="B11" s="586" t="s">
        <v>97</v>
      </c>
      <c r="C11" s="881">
        <f>'Lsandelar totalt'!O11</f>
        <v>1678133.97572</v>
      </c>
      <c r="D11" s="882"/>
      <c r="E11" s="882"/>
      <c r="F11" s="882"/>
      <c r="G11" s="882"/>
      <c r="H11" s="882">
        <f>'Kompensationer år 2025'!D198</f>
        <v>85917.350221350905</v>
      </c>
      <c r="I11" s="882">
        <f>'Kompensationer år 2025'!E198</f>
        <v>46476.587360762889</v>
      </c>
      <c r="J11" s="882">
        <f>'Kompensationer år 2025'!G198</f>
        <v>4666.3329999999996</v>
      </c>
      <c r="K11" s="883"/>
      <c r="L11" s="883">
        <v>732.43</v>
      </c>
      <c r="M11" s="883">
        <v>2911.3387419530554</v>
      </c>
      <c r="N11" s="883">
        <v>1776.8025658951228</v>
      </c>
      <c r="O11" s="574">
        <f t="shared" si="0"/>
        <v>1678133.97572</v>
      </c>
      <c r="P11" s="574">
        <f t="shared" si="3"/>
        <v>1820614.8176099618</v>
      </c>
      <c r="Q11" s="574"/>
      <c r="R11" s="580">
        <f t="shared" si="1"/>
        <v>3576.8464000195713</v>
      </c>
      <c r="S11" s="581" t="s">
        <v>97</v>
      </c>
      <c r="X11" s="784">
        <v>1773241.8319999999</v>
      </c>
      <c r="Y11" s="884">
        <f t="shared" si="4"/>
        <v>1820614.8176099618</v>
      </c>
      <c r="Z11" s="559">
        <f t="shared" si="2"/>
        <v>47372.985609961906</v>
      </c>
      <c r="AA11" s="581" t="s">
        <v>97</v>
      </c>
      <c r="AE11" s="418">
        <v>509</v>
      </c>
    </row>
    <row r="12" spans="2:31" ht="21">
      <c r="B12" s="586" t="s">
        <v>98</v>
      </c>
      <c r="C12" s="881">
        <f>'Lsandelar totalt'!O12</f>
        <v>3543253.3641799996</v>
      </c>
      <c r="D12" s="882"/>
      <c r="E12" s="882"/>
      <c r="F12" s="882"/>
      <c r="G12" s="882"/>
      <c r="H12" s="882">
        <f>'Kompensationer år 2025'!D199</f>
        <v>233754.30364267886</v>
      </c>
      <c r="I12" s="882">
        <f>'Kompensationer år 2025'!E199</f>
        <v>117177.26173648449</v>
      </c>
      <c r="J12" s="882">
        <f>'Kompensationer år 2025'!G199</f>
        <v>115298.43699999999</v>
      </c>
      <c r="K12" s="883"/>
      <c r="L12" s="883">
        <v>24851.360000000001</v>
      </c>
      <c r="M12" s="883">
        <v>29011.212544090013</v>
      </c>
      <c r="N12" s="883">
        <v>24438.779019372421</v>
      </c>
      <c r="O12" s="574">
        <f t="shared" si="0"/>
        <v>3543253.3641799996</v>
      </c>
      <c r="P12" s="574">
        <f t="shared" si="3"/>
        <v>4087784.7181226257</v>
      </c>
      <c r="Q12" s="574"/>
      <c r="R12" s="579">
        <f t="shared" si="1"/>
        <v>2483.4658068788735</v>
      </c>
      <c r="S12" s="581" t="s">
        <v>98</v>
      </c>
      <c r="X12" s="784">
        <v>3785609.7289999998</v>
      </c>
      <c r="Y12" s="884">
        <f t="shared" si="4"/>
        <v>4087784.7181226257</v>
      </c>
      <c r="Z12" s="559">
        <f t="shared" si="2"/>
        <v>302174.98912262591</v>
      </c>
      <c r="AA12" s="581" t="s">
        <v>98</v>
      </c>
      <c r="AE12" s="418">
        <v>1646</v>
      </c>
    </row>
    <row r="13" spans="2:31" ht="21">
      <c r="B13" s="586" t="s">
        <v>99</v>
      </c>
      <c r="C13" s="881">
        <f>'Lsandelar totalt'!O13</f>
        <v>6275896.3324399982</v>
      </c>
      <c r="D13" s="882"/>
      <c r="E13" s="882"/>
      <c r="F13" s="882"/>
      <c r="G13" s="882"/>
      <c r="H13" s="882">
        <f>'Kompensationer år 2025'!D200</f>
        <v>611122.38593476231</v>
      </c>
      <c r="I13" s="882">
        <f>'Kompensationer år 2025'!E200</f>
        <v>92052.293175705825</v>
      </c>
      <c r="J13" s="882">
        <f>'Kompensationer år 2025'!G200</f>
        <v>598632.80000000005</v>
      </c>
      <c r="K13" s="883"/>
      <c r="L13" s="883">
        <v>122252.11</v>
      </c>
      <c r="M13" s="883">
        <v>13497.782881551451</v>
      </c>
      <c r="N13" s="883">
        <v>139990.44472714717</v>
      </c>
      <c r="O13" s="574">
        <f t="shared" si="0"/>
        <v>6275896.3324399982</v>
      </c>
      <c r="P13" s="574">
        <f t="shared" si="3"/>
        <v>7853444.1491591651</v>
      </c>
      <c r="Q13" s="574"/>
      <c r="R13" s="579">
        <f t="shared" si="1"/>
        <v>1378.5227574441224</v>
      </c>
      <c r="S13" s="581" t="s">
        <v>99</v>
      </c>
      <c r="X13" s="784">
        <v>6916915.0800000001</v>
      </c>
      <c r="Y13" s="884">
        <f t="shared" si="4"/>
        <v>7853444.1491591651</v>
      </c>
      <c r="Z13" s="559">
        <f t="shared" si="2"/>
        <v>936529.06915916502</v>
      </c>
      <c r="AA13" s="581" t="s">
        <v>99</v>
      </c>
      <c r="AE13" s="418">
        <v>5697</v>
      </c>
    </row>
    <row r="14" spans="2:31" ht="21">
      <c r="B14" s="586" t="s">
        <v>100</v>
      </c>
      <c r="C14" s="881">
        <f>'Lsandelar totalt'!O14</f>
        <v>904720.77753999992</v>
      </c>
      <c r="D14" s="882"/>
      <c r="E14" s="882"/>
      <c r="F14" s="882"/>
      <c r="G14" s="882"/>
      <c r="H14" s="882">
        <f>'Kompensationer år 2025'!D201</f>
        <v>47400.728850543113</v>
      </c>
      <c r="I14" s="882">
        <f>'Kompensationer år 2025'!E201</f>
        <v>2763.7921871709555</v>
      </c>
      <c r="J14" s="882">
        <f>'Kompensationer år 2025'!G201</f>
        <v>5232.9939999999997</v>
      </c>
      <c r="K14" s="883"/>
      <c r="L14" s="883">
        <v>926.15</v>
      </c>
      <c r="M14" s="883">
        <v>1170.6639700232681</v>
      </c>
      <c r="N14" s="883">
        <v>-682.12698735963932</v>
      </c>
      <c r="O14" s="574">
        <f t="shared" si="0"/>
        <v>904720.77753999992</v>
      </c>
      <c r="P14" s="574">
        <f t="shared" si="3"/>
        <v>961532.97956037766</v>
      </c>
      <c r="Q14" s="574"/>
      <c r="R14" s="579">
        <f t="shared" si="1"/>
        <v>3315.6309640013023</v>
      </c>
      <c r="S14" s="581" t="s">
        <v>100</v>
      </c>
      <c r="X14" s="784">
        <v>980343.84900000005</v>
      </c>
      <c r="Y14" s="884">
        <f t="shared" si="4"/>
        <v>961532.97956037766</v>
      </c>
      <c r="Z14" s="559">
        <f t="shared" si="2"/>
        <v>-18810.869439622387</v>
      </c>
      <c r="AA14" s="581" t="s">
        <v>100</v>
      </c>
      <c r="AE14" s="418">
        <v>290</v>
      </c>
    </row>
    <row r="15" spans="2:31" ht="21">
      <c r="B15" s="586" t="s">
        <v>101</v>
      </c>
      <c r="C15" s="881">
        <f>'Lsandelar totalt'!O15</f>
        <v>651990.53522000008</v>
      </c>
      <c r="D15" s="882"/>
      <c r="E15" s="882"/>
      <c r="F15" s="882"/>
      <c r="G15" s="882"/>
      <c r="H15" s="882">
        <f>'Kompensationer år 2025'!D202</f>
        <v>41922.594796522448</v>
      </c>
      <c r="I15" s="882">
        <f>'Kompensationer år 2025'!E202</f>
        <v>1969.583115109436</v>
      </c>
      <c r="J15" s="882">
        <f>'Kompensationer år 2025'!G202</f>
        <v>5578.3369999999995</v>
      </c>
      <c r="K15" s="883"/>
      <c r="L15" s="883">
        <v>1429.76</v>
      </c>
      <c r="M15" s="883">
        <v>1170.4119840851008</v>
      </c>
      <c r="N15" s="883">
        <v>-927.73600276827347</v>
      </c>
      <c r="O15" s="574">
        <f t="shared" si="0"/>
        <v>651990.53522000008</v>
      </c>
      <c r="P15" s="574">
        <f t="shared" si="3"/>
        <v>703133.48611294886</v>
      </c>
      <c r="Q15" s="574"/>
      <c r="R15" s="579">
        <f t="shared" si="1"/>
        <v>3125.0377160575504</v>
      </c>
      <c r="S15" s="581" t="s">
        <v>101</v>
      </c>
      <c r="X15" s="784">
        <v>624394.65599999996</v>
      </c>
      <c r="Y15" s="884">
        <f t="shared" si="4"/>
        <v>703133.48611294886</v>
      </c>
      <c r="Z15" s="559">
        <f t="shared" si="2"/>
        <v>78738.830112948897</v>
      </c>
      <c r="AA15" s="581" t="s">
        <v>101</v>
      </c>
      <c r="AE15" s="418">
        <v>225</v>
      </c>
    </row>
    <row r="16" spans="2:31" ht="21">
      <c r="B16" s="586" t="s">
        <v>102</v>
      </c>
      <c r="C16" s="881">
        <f>'Lsandelar totalt'!O16</f>
        <v>3304151.3393600001</v>
      </c>
      <c r="D16" s="882"/>
      <c r="E16" s="882"/>
      <c r="F16" s="882"/>
      <c r="G16" s="882"/>
      <c r="H16" s="882">
        <f>'Kompensationer år 2025'!D203</f>
        <v>253672.34067409678</v>
      </c>
      <c r="I16" s="882">
        <f>'Kompensationer år 2025'!E203</f>
        <v>111177.86213526098</v>
      </c>
      <c r="J16" s="882">
        <f>'Kompensationer år 2025'!G203</f>
        <v>46400.273999999998</v>
      </c>
      <c r="K16" s="883"/>
      <c r="L16" s="883">
        <v>10751.86</v>
      </c>
      <c r="M16" s="883">
        <v>13090.524076348258</v>
      </c>
      <c r="N16" s="883">
        <v>39492.262410742696</v>
      </c>
      <c r="O16" s="574">
        <f t="shared" si="0"/>
        <v>3304151.3393600001</v>
      </c>
      <c r="P16" s="574">
        <f t="shared" si="3"/>
        <v>3778736.4626564486</v>
      </c>
      <c r="Q16" s="574"/>
      <c r="R16" s="579">
        <f t="shared" si="1"/>
        <v>1776.5568700782551</v>
      </c>
      <c r="S16" s="581" t="s">
        <v>102</v>
      </c>
      <c r="X16" s="784">
        <v>3619863.0759999999</v>
      </c>
      <c r="Y16" s="884">
        <f t="shared" si="4"/>
        <v>3778736.4626564486</v>
      </c>
      <c r="Z16" s="559">
        <f t="shared" si="2"/>
        <v>158873.38665644871</v>
      </c>
      <c r="AA16" s="581" t="s">
        <v>102</v>
      </c>
      <c r="AE16" s="418">
        <v>2127</v>
      </c>
    </row>
    <row r="17" spans="2:31" ht="21">
      <c r="B17" s="586" t="s">
        <v>103</v>
      </c>
      <c r="C17" s="881">
        <f>'Lsandelar totalt'!O17</f>
        <v>680816.52159999986</v>
      </c>
      <c r="D17" s="882"/>
      <c r="E17" s="882"/>
      <c r="F17" s="882"/>
      <c r="G17" s="882"/>
      <c r="H17" s="882">
        <f>'Kompensationer år 2025'!D204</f>
        <v>56669.813482156256</v>
      </c>
      <c r="I17" s="882">
        <f>'Kompensationer år 2025'!E204</f>
        <v>33156.678552127523</v>
      </c>
      <c r="J17" s="882">
        <f>'Kompensationer år 2025'!G204</f>
        <v>21439.637999999999</v>
      </c>
      <c r="K17" s="883"/>
      <c r="L17" s="883">
        <v>4144.08</v>
      </c>
      <c r="M17" s="883">
        <v>944.65132081996126</v>
      </c>
      <c r="N17" s="883">
        <v>5230.6964598781342</v>
      </c>
      <c r="O17" s="574">
        <f t="shared" si="0"/>
        <v>680816.52159999986</v>
      </c>
      <c r="P17" s="574">
        <f t="shared" si="3"/>
        <v>802402.07941498177</v>
      </c>
      <c r="Q17" s="574"/>
      <c r="R17" s="579">
        <f t="shared" si="1"/>
        <v>2192.355408237655</v>
      </c>
      <c r="S17" s="581" t="s">
        <v>103</v>
      </c>
      <c r="X17" s="784">
        <v>826744.43700000003</v>
      </c>
      <c r="Y17" s="884">
        <f t="shared" si="4"/>
        <v>802402.07941498177</v>
      </c>
      <c r="Z17" s="559">
        <f t="shared" si="2"/>
        <v>-24342.357585018268</v>
      </c>
      <c r="AA17" s="581" t="s">
        <v>103</v>
      </c>
      <c r="AE17" s="418">
        <v>366</v>
      </c>
    </row>
    <row r="18" spans="2:31" ht="21">
      <c r="B18" s="586" t="s">
        <v>104</v>
      </c>
      <c r="C18" s="881">
        <f>'Lsandelar totalt'!O18</f>
        <v>2666104.3866999997</v>
      </c>
      <c r="D18" s="882"/>
      <c r="E18" s="882"/>
      <c r="F18" s="882"/>
      <c r="G18" s="882"/>
      <c r="H18" s="882">
        <f>'Kompensationer år 2025'!D205</f>
        <v>253469.82169284101</v>
      </c>
      <c r="I18" s="882">
        <f>'Kompensationer år 2025'!E205</f>
        <v>123938.83094564122</v>
      </c>
      <c r="J18" s="882">
        <f>'Kompensationer år 2025'!G205</f>
        <v>559111.875</v>
      </c>
      <c r="K18" s="883"/>
      <c r="L18" s="883">
        <v>109123.98</v>
      </c>
      <c r="M18" s="883">
        <v>13943.904143680338</v>
      </c>
      <c r="N18" s="883">
        <v>39555.999746803893</v>
      </c>
      <c r="O18" s="574">
        <f t="shared" si="0"/>
        <v>2666104.3866999997</v>
      </c>
      <c r="P18" s="574">
        <f t="shared" si="3"/>
        <v>3765248.7982289661</v>
      </c>
      <c r="Q18" s="574"/>
      <c r="R18" s="579">
        <f t="shared" si="1"/>
        <v>2102.3164702562626</v>
      </c>
      <c r="S18" s="581" t="s">
        <v>104</v>
      </c>
      <c r="X18" s="784">
        <v>3609692.2889999999</v>
      </c>
      <c r="Y18" s="884">
        <f t="shared" si="4"/>
        <v>3765248.7982289661</v>
      </c>
      <c r="Z18" s="559">
        <f t="shared" si="2"/>
        <v>155556.5092289662</v>
      </c>
      <c r="AA18" s="581" t="s">
        <v>104</v>
      </c>
      <c r="AE18" s="418">
        <v>1791</v>
      </c>
    </row>
    <row r="19" spans="2:31" ht="21">
      <c r="B19" s="586" t="s">
        <v>105</v>
      </c>
      <c r="C19" s="881">
        <f>'Lsandelar totalt'!O19</f>
        <v>402385.22405999998</v>
      </c>
      <c r="D19" s="882"/>
      <c r="E19" s="882"/>
      <c r="F19" s="882"/>
      <c r="G19" s="882"/>
      <c r="H19" s="882">
        <f>'Kompensationer år 2025'!D206</f>
        <v>16394.828083499626</v>
      </c>
      <c r="I19" s="882">
        <f>'Kompensationer år 2025'!E206</f>
        <v>1935.1945708661951</v>
      </c>
      <c r="J19" s="882">
        <f>'Kompensationer år 2025'!G206</f>
        <v>5400.3970000000008</v>
      </c>
      <c r="K19" s="883"/>
      <c r="L19" s="883">
        <v>1262.9100000000001</v>
      </c>
      <c r="M19" s="883">
        <v>1147.0654811325696</v>
      </c>
      <c r="N19" s="883">
        <v>-1643.9398245136981</v>
      </c>
      <c r="O19" s="574">
        <f t="shared" si="0"/>
        <v>402385.22405999998</v>
      </c>
      <c r="P19" s="574">
        <f t="shared" si="3"/>
        <v>426881.67937098467</v>
      </c>
      <c r="Q19" s="574"/>
      <c r="R19" s="579">
        <f t="shared" si="1"/>
        <v>3712.0146032259536</v>
      </c>
      <c r="S19" s="581" t="s">
        <v>105</v>
      </c>
      <c r="X19" s="784">
        <v>364067.45699999999</v>
      </c>
      <c r="Y19" s="884">
        <f t="shared" si="4"/>
        <v>426881.67937098467</v>
      </c>
      <c r="Z19" s="559">
        <f t="shared" si="2"/>
        <v>62814.222370984673</v>
      </c>
      <c r="AA19" s="581" t="s">
        <v>105</v>
      </c>
      <c r="AE19" s="418">
        <v>115</v>
      </c>
    </row>
    <row r="20" spans="2:31" ht="21">
      <c r="B20" s="586" t="s">
        <v>106</v>
      </c>
      <c r="C20" s="881">
        <f>'Lsandelar totalt'!O20</f>
        <v>2178897.7264800002</v>
      </c>
      <c r="D20" s="882"/>
      <c r="E20" s="882"/>
      <c r="F20" s="882"/>
      <c r="G20" s="882"/>
      <c r="H20" s="882">
        <f>'Kompensationer år 2025'!D207</f>
        <v>147610.62554003857</v>
      </c>
      <c r="I20" s="882">
        <f>'Kompensationer år 2025'!E207</f>
        <v>79011.72603682139</v>
      </c>
      <c r="J20" s="882">
        <f>'Kompensationer år 2025'!G207</f>
        <v>13786.700999999999</v>
      </c>
      <c r="K20" s="883"/>
      <c r="L20" s="883">
        <v>4178.5</v>
      </c>
      <c r="M20" s="883">
        <v>6157.1818182341813</v>
      </c>
      <c r="N20" s="883">
        <v>23030.088537075819</v>
      </c>
      <c r="O20" s="574">
        <f t="shared" si="0"/>
        <v>2178897.7264800002</v>
      </c>
      <c r="P20" s="574">
        <f t="shared" si="3"/>
        <v>2452672.5494121704</v>
      </c>
      <c r="Q20" s="574"/>
      <c r="R20" s="579">
        <f t="shared" si="1"/>
        <v>2464.9975370976586</v>
      </c>
      <c r="S20" s="581" t="s">
        <v>106</v>
      </c>
      <c r="X20" s="784">
        <v>2281397.821</v>
      </c>
      <c r="Y20" s="884">
        <f t="shared" si="4"/>
        <v>2452672.5494121704</v>
      </c>
      <c r="Z20" s="559">
        <f t="shared" si="2"/>
        <v>171274.72841217043</v>
      </c>
      <c r="AA20" s="581" t="s">
        <v>106</v>
      </c>
      <c r="AE20" s="418">
        <v>995</v>
      </c>
    </row>
    <row r="21" spans="2:31" ht="21">
      <c r="B21" s="586" t="s">
        <v>107</v>
      </c>
      <c r="C21" s="881">
        <f>'Lsandelar totalt'!O21</f>
        <v>1589149.3967599997</v>
      </c>
      <c r="D21" s="882"/>
      <c r="E21" s="882"/>
      <c r="F21" s="882"/>
      <c r="G21" s="882"/>
      <c r="H21" s="882">
        <f>'Kompensationer år 2025'!D208</f>
        <v>72064.974068942305</v>
      </c>
      <c r="I21" s="882">
        <f>'Kompensationer år 2025'!E208</f>
        <v>38735.007407100158</v>
      </c>
      <c r="J21" s="882">
        <f>'Kompensationer år 2025'!G208</f>
        <v>17554.929</v>
      </c>
      <c r="K21" s="883"/>
      <c r="L21" s="883">
        <v>3105.72</v>
      </c>
      <c r="M21" s="883">
        <v>5880.6742530879419</v>
      </c>
      <c r="N21" s="883">
        <v>1813.6865513852681</v>
      </c>
      <c r="O21" s="574">
        <f t="shared" si="0"/>
        <v>1589149.3967599997</v>
      </c>
      <c r="P21" s="574">
        <f t="shared" si="3"/>
        <v>1728304.3880405154</v>
      </c>
      <c r="Q21" s="574"/>
      <c r="R21" s="580">
        <f t="shared" si="1"/>
        <v>3669.4360680265718</v>
      </c>
      <c r="S21" s="581" t="s">
        <v>107</v>
      </c>
      <c r="X21" s="784">
        <v>1705403.554</v>
      </c>
      <c r="Y21" s="884">
        <f t="shared" si="4"/>
        <v>1728304.3880405154</v>
      </c>
      <c r="Z21" s="559">
        <f t="shared" si="2"/>
        <v>22900.834040515358</v>
      </c>
      <c r="AA21" s="581" t="s">
        <v>107</v>
      </c>
      <c r="AE21" s="418">
        <v>471</v>
      </c>
    </row>
    <row r="22" spans="2:31" ht="21">
      <c r="B22" s="586" t="s">
        <v>108</v>
      </c>
      <c r="C22" s="881">
        <f>'Lsandelar totalt'!O22</f>
        <v>6467729.3133400008</v>
      </c>
      <c r="D22" s="882"/>
      <c r="E22" s="882"/>
      <c r="F22" s="497"/>
      <c r="G22" s="882"/>
      <c r="H22" s="882">
        <f>'Kompensationer år 2025'!D209</f>
        <v>1496350.02018419</v>
      </c>
      <c r="I22" s="882">
        <f>'Kompensationer år 2025'!E209</f>
        <v>99614.786843093883</v>
      </c>
      <c r="J22" s="882">
        <f>'Kompensationer år 2025'!G209</f>
        <v>2320511.8909999998</v>
      </c>
      <c r="K22" s="883"/>
      <c r="L22" s="883">
        <v>495516.06</v>
      </c>
      <c r="M22" s="883">
        <v>8704.1114428588189</v>
      </c>
      <c r="N22" s="883">
        <v>166077.80259745219</v>
      </c>
      <c r="O22" s="574">
        <f t="shared" si="0"/>
        <v>6467729.3133400008</v>
      </c>
      <c r="P22" s="574">
        <f>SUM(C22:N22)</f>
        <v>11054503.985407595</v>
      </c>
      <c r="Q22" s="574"/>
      <c r="R22" s="579">
        <f t="shared" si="1"/>
        <v>935.87063879170285</v>
      </c>
      <c r="S22" s="581" t="s">
        <v>108</v>
      </c>
      <c r="X22" s="784">
        <v>9592135.4250000007</v>
      </c>
      <c r="Y22" s="884">
        <f t="shared" si="4"/>
        <v>11054503.985407595</v>
      </c>
      <c r="Z22" s="559">
        <f>Y22-X22</f>
        <v>1462368.5604075938</v>
      </c>
      <c r="AA22" s="581" t="s">
        <v>108</v>
      </c>
      <c r="AE22" s="418">
        <v>11812</v>
      </c>
    </row>
    <row r="23" spans="2:31" ht="25.5" customHeight="1">
      <c r="B23" s="587"/>
      <c r="C23" s="382"/>
      <c r="D23" s="425"/>
      <c r="F23" s="425"/>
      <c r="G23" s="425"/>
      <c r="H23" s="425"/>
      <c r="I23" s="425"/>
      <c r="J23" s="425"/>
      <c r="K23" s="588"/>
      <c r="L23" s="588"/>
      <c r="M23" s="588"/>
      <c r="N23" s="588"/>
      <c r="O23" s="574"/>
      <c r="P23" s="571"/>
      <c r="Q23" s="571"/>
      <c r="R23" s="571"/>
      <c r="S23" s="582"/>
      <c r="T23" s="165"/>
      <c r="V23" s="602"/>
      <c r="X23" s="429"/>
      <c r="Y23" s="429"/>
      <c r="Z23" s="429"/>
      <c r="AA23" s="604"/>
    </row>
    <row r="24" spans="2:31" ht="25.5" customHeight="1">
      <c r="B24" s="587" t="s">
        <v>78</v>
      </c>
      <c r="C24" s="382"/>
      <c r="D24" s="425">
        <f>'Lsandelar totalt'!I26</f>
        <v>4399780.4400000004</v>
      </c>
      <c r="F24" s="497"/>
      <c r="G24" s="425"/>
      <c r="H24" s="425"/>
      <c r="I24" s="425"/>
      <c r="J24" s="425"/>
      <c r="K24" s="588"/>
      <c r="L24" s="588"/>
      <c r="M24" s="588"/>
      <c r="N24" s="588"/>
      <c r="O24" s="574"/>
      <c r="P24" s="574"/>
      <c r="Q24" s="572"/>
      <c r="R24" s="572"/>
      <c r="S24" s="582"/>
      <c r="T24" s="165"/>
      <c r="V24" s="602"/>
      <c r="X24" s="429"/>
      <c r="Y24" s="429"/>
      <c r="Z24" s="429"/>
      <c r="AA24" s="604"/>
    </row>
    <row r="25" spans="2:31" ht="21.75" thickBot="1">
      <c r="B25" s="589" t="s">
        <v>109</v>
      </c>
      <c r="C25" s="590">
        <f>SUM(C7:C23)</f>
        <v>39408955.997939989</v>
      </c>
      <c r="D25" s="590">
        <f>'Lsandelar totalt'!I26</f>
        <v>4399780.4400000004</v>
      </c>
      <c r="E25" s="590"/>
      <c r="F25" s="590"/>
      <c r="G25" s="590"/>
      <c r="H25" s="590">
        <f>'Kompensationer år 2025'!D212</f>
        <v>3999999.9999999981</v>
      </c>
      <c r="I25" s="590">
        <f>'Kompensationer år 2025'!E212</f>
        <v>1000000.0000000002</v>
      </c>
      <c r="J25" s="590">
        <f>'Kompensationer år 2025'!G212</f>
        <v>4100000</v>
      </c>
      <c r="K25" s="591"/>
      <c r="L25" s="591">
        <f>SUM(L7:L24)</f>
        <v>864596.01</v>
      </c>
      <c r="M25" s="591">
        <f t="shared" ref="M25:N25" si="5">SUM(M7:M24)</f>
        <v>118248.72074999985</v>
      </c>
      <c r="N25" s="591">
        <f t="shared" si="5"/>
        <v>512997.69025000004</v>
      </c>
      <c r="O25" s="573">
        <f>SUM(O7:O22)</f>
        <v>39408955.997939989</v>
      </c>
      <c r="P25" s="573">
        <f>SUM(P7:P22)</f>
        <v>50004798.418939993</v>
      </c>
      <c r="Q25" s="573">
        <f>SUM(C25:N25)</f>
        <v>54404578.858939983</v>
      </c>
      <c r="R25" s="578">
        <f>P25/AE25</f>
        <v>1637.3006260089712</v>
      </c>
      <c r="S25" s="1127" t="s">
        <v>109</v>
      </c>
      <c r="T25" s="617">
        <f>C25-'Lsandelar totalt'!O26</f>
        <v>0</v>
      </c>
      <c r="V25" s="602">
        <v>30541</v>
      </c>
      <c r="X25" s="14">
        <f>SUM(X7:X22)</f>
        <v>45832637.084000006</v>
      </c>
      <c r="Y25" s="14">
        <f>SUM(Y7:Y22)</f>
        <v>50004798.418939993</v>
      </c>
      <c r="Z25" s="556">
        <f>P25-X25</f>
        <v>4172161.3349399865</v>
      </c>
      <c r="AA25" s="603" t="s">
        <v>109</v>
      </c>
      <c r="AE25">
        <f>SUM(AE7:AE22)</f>
        <v>30541</v>
      </c>
    </row>
    <row r="26" spans="2:31" s="429" customFormat="1" ht="20.45" customHeight="1" thickBot="1">
      <c r="D26" s="607"/>
      <c r="E26" s="608"/>
      <c r="F26" s="609" t="s">
        <v>110</v>
      </c>
      <c r="G26" s="609" t="s">
        <v>111</v>
      </c>
      <c r="H26" s="925" t="s">
        <v>112</v>
      </c>
      <c r="I26" s="925" t="s">
        <v>112</v>
      </c>
      <c r="J26" s="925" t="s">
        <v>112</v>
      </c>
      <c r="K26" s="610"/>
      <c r="L26" s="610" t="s">
        <v>113</v>
      </c>
      <c r="M26" s="610" t="s">
        <v>113</v>
      </c>
      <c r="N26" s="610" t="s">
        <v>113</v>
      </c>
      <c r="P26" s="611"/>
      <c r="R26" s="578">
        <f>Q25/AE25</f>
        <v>1781.3620660404042</v>
      </c>
      <c r="T26" s="617">
        <f>C25+D25-'Lsandelar totalt'!L27</f>
        <v>0</v>
      </c>
      <c r="X26" s="605"/>
      <c r="Z26" s="606"/>
    </row>
    <row r="27" spans="2:31" s="429" customFormat="1" ht="30" customHeight="1">
      <c r="E27" s="612"/>
      <c r="F27" s="612"/>
      <c r="H27" s="610"/>
      <c r="I27" s="610"/>
      <c r="J27" s="610"/>
    </row>
    <row r="28" spans="2:31" ht="110.25" customHeight="1">
      <c r="B28" s="618" t="s">
        <v>114</v>
      </c>
      <c r="C28" s="429"/>
      <c r="D28" s="429"/>
      <c r="E28" s="429"/>
      <c r="F28" s="429"/>
      <c r="G28" s="429"/>
      <c r="H28" s="429"/>
      <c r="I28" s="429"/>
      <c r="J28" s="429"/>
      <c r="K28" s="429"/>
      <c r="L28" s="429"/>
      <c r="M28" s="429"/>
      <c r="N28" s="429"/>
      <c r="O28" s="429"/>
      <c r="P28" s="429"/>
      <c r="Q28" s="429"/>
      <c r="R28" s="429"/>
      <c r="S28" s="429"/>
      <c r="X28" s="429"/>
      <c r="Y28" s="429"/>
      <c r="Z28" s="429"/>
      <c r="AA28" s="429"/>
    </row>
    <row r="29" spans="2:31" ht="16.5" thickBot="1">
      <c r="B29" s="613"/>
      <c r="C29" s="429"/>
      <c r="D29" s="429"/>
      <c r="E29" s="429"/>
      <c r="F29" s="429"/>
      <c r="G29" s="429"/>
      <c r="H29" s="429"/>
      <c r="I29" s="429"/>
      <c r="J29" s="429"/>
      <c r="K29" s="429"/>
      <c r="L29" s="429"/>
      <c r="M29" s="429"/>
      <c r="N29" s="429"/>
      <c r="O29" s="429"/>
      <c r="P29" s="429"/>
      <c r="Q29" s="429"/>
      <c r="R29" s="429"/>
    </row>
    <row r="30" spans="2:31" ht="75.75" thickBot="1">
      <c r="B30" s="583"/>
      <c r="C30" s="584" t="s">
        <v>77</v>
      </c>
      <c r="D30" s="584" t="s">
        <v>78</v>
      </c>
      <c r="E30" s="584"/>
      <c r="F30" s="584" t="s">
        <v>79</v>
      </c>
      <c r="G30" s="584" t="s">
        <v>80</v>
      </c>
      <c r="H30" s="584" t="s">
        <v>81</v>
      </c>
      <c r="I30" s="584" t="s">
        <v>82</v>
      </c>
      <c r="J30" s="584" t="s">
        <v>83</v>
      </c>
      <c r="K30" s="585"/>
      <c r="L30" s="585" t="s">
        <v>115</v>
      </c>
      <c r="M30" s="585" t="s">
        <v>84</v>
      </c>
      <c r="N30" s="585" t="s">
        <v>85</v>
      </c>
      <c r="O30" s="575" t="s">
        <v>86</v>
      </c>
      <c r="P30" s="576" t="s">
        <v>87</v>
      </c>
      <c r="Q30" s="429"/>
      <c r="R30" s="429"/>
    </row>
    <row r="31" spans="2:31" ht="15.75">
      <c r="B31" s="885"/>
      <c r="C31" s="619">
        <f>C25-'Lsandelar totalt'!O26</f>
        <v>0</v>
      </c>
      <c r="D31" s="619">
        <f>D25-'Soctjänst data'!E28</f>
        <v>9.6000079065561295E-4</v>
      </c>
      <c r="E31" s="429"/>
      <c r="F31" s="429"/>
      <c r="G31" s="429"/>
      <c r="H31" s="619">
        <f>H25-'Kompensationer år 2025'!D212</f>
        <v>0</v>
      </c>
      <c r="I31" s="619">
        <f>I25-'Kompensationer år 2025'!E212</f>
        <v>0</v>
      </c>
      <c r="J31" s="619">
        <f>J25-'Kompensationer år 2025'!G212</f>
        <v>0</v>
      </c>
      <c r="K31" s="429"/>
      <c r="L31" s="429"/>
      <c r="M31" s="429"/>
      <c r="N31" s="429"/>
      <c r="O31" s="429"/>
      <c r="P31" s="429"/>
      <c r="Q31" s="429"/>
      <c r="R31" s="429"/>
    </row>
    <row r="32" spans="2:31" ht="15.75">
      <c r="B32" s="885"/>
      <c r="C32" s="429"/>
      <c r="D32" s="429"/>
      <c r="E32" s="429"/>
      <c r="F32" s="429"/>
      <c r="G32" s="429"/>
      <c r="H32" s="429"/>
      <c r="I32" s="429"/>
      <c r="J32" s="429"/>
      <c r="K32" s="429"/>
      <c r="L32" s="429"/>
      <c r="M32" s="429"/>
      <c r="N32" s="429"/>
      <c r="O32" s="429"/>
      <c r="P32" s="429"/>
      <c r="Q32" s="429"/>
      <c r="R32" s="429"/>
    </row>
    <row r="33" spans="2:18" ht="15.75">
      <c r="B33" s="885"/>
      <c r="C33" s="619">
        <f>SUM('Lsandelar totalt'!B26:J26)-C25-D25</f>
        <v>1.2107193470001221E-8</v>
      </c>
      <c r="D33" s="429"/>
      <c r="E33" s="429"/>
      <c r="F33" s="429"/>
      <c r="G33" s="429"/>
      <c r="H33" s="429"/>
      <c r="I33" s="429"/>
      <c r="J33" s="429"/>
      <c r="K33" s="429"/>
      <c r="L33" s="429"/>
      <c r="M33" s="429"/>
      <c r="N33" s="429"/>
      <c r="O33" s="429"/>
      <c r="P33" s="429"/>
      <c r="Q33" s="429"/>
      <c r="R33" s="429"/>
    </row>
    <row r="34" spans="2:18" ht="15.75">
      <c r="B34" s="885"/>
      <c r="C34" s="429"/>
      <c r="D34" s="429"/>
      <c r="E34" s="429"/>
      <c r="F34" s="429"/>
      <c r="G34" s="429"/>
      <c r="H34" s="429"/>
      <c r="I34" s="429"/>
      <c r="J34" s="429"/>
      <c r="K34" s="429"/>
      <c r="L34" s="429"/>
      <c r="M34" s="429"/>
      <c r="N34" s="429"/>
      <c r="O34" s="429"/>
      <c r="P34" s="429"/>
      <c r="Q34" s="429"/>
      <c r="R34" s="429"/>
    </row>
    <row r="35" spans="2:18">
      <c r="B35" s="429"/>
      <c r="C35" s="429"/>
      <c r="D35" s="429"/>
      <c r="E35" s="429"/>
      <c r="F35" s="429"/>
      <c r="G35" s="429"/>
      <c r="H35" s="429"/>
      <c r="I35" s="429"/>
      <c r="J35" s="429"/>
      <c r="K35" s="429"/>
      <c r="L35" s="429"/>
      <c r="M35" s="429"/>
      <c r="N35" s="429"/>
      <c r="O35" s="429"/>
      <c r="P35" s="429"/>
      <c r="Q35" s="429"/>
      <c r="R35" s="429"/>
    </row>
    <row r="36" spans="2:18">
      <c r="B36" s="429"/>
      <c r="C36" s="429"/>
      <c r="D36" s="429"/>
      <c r="E36" s="429"/>
      <c r="F36" s="429"/>
      <c r="G36" s="429"/>
      <c r="H36" s="429"/>
      <c r="I36" s="429"/>
      <c r="J36" s="429"/>
      <c r="K36" s="429"/>
      <c r="L36" s="429"/>
      <c r="M36" s="429"/>
      <c r="N36" s="429"/>
      <c r="O36" s="429"/>
      <c r="P36" s="429"/>
      <c r="Q36" s="429"/>
      <c r="R36" s="429"/>
    </row>
    <row r="37" spans="2:18">
      <c r="B37" s="429"/>
      <c r="C37" s="429"/>
      <c r="D37" s="429"/>
      <c r="E37" s="429"/>
      <c r="F37" s="429"/>
      <c r="G37" s="429"/>
      <c r="H37" s="429"/>
      <c r="I37" s="429"/>
      <c r="J37" s="429"/>
      <c r="K37" s="429"/>
      <c r="L37" s="429"/>
      <c r="M37" s="429"/>
      <c r="N37" s="429"/>
      <c r="O37" s="429"/>
      <c r="P37" s="429"/>
      <c r="Q37" s="429"/>
      <c r="R37" s="429"/>
    </row>
    <row r="38" spans="2:18">
      <c r="B38" s="429"/>
      <c r="C38" s="429"/>
      <c r="D38" s="429"/>
      <c r="E38" s="429"/>
      <c r="F38" s="429"/>
      <c r="G38" s="429"/>
      <c r="H38" s="429"/>
      <c r="I38" s="429"/>
      <c r="J38" s="429"/>
      <c r="K38" s="429"/>
      <c r="L38" s="429"/>
      <c r="M38" s="429"/>
      <c r="N38" s="429"/>
      <c r="O38" s="429"/>
      <c r="P38" s="429"/>
      <c r="Q38" s="429"/>
      <c r="R38" s="429"/>
    </row>
    <row r="39" spans="2:18">
      <c r="B39" s="429"/>
      <c r="C39" s="429"/>
      <c r="D39" s="429"/>
      <c r="E39" s="429"/>
      <c r="F39" s="429"/>
      <c r="G39" s="429"/>
      <c r="H39" s="429"/>
      <c r="I39" s="429"/>
      <c r="J39" s="429"/>
      <c r="K39" s="429"/>
      <c r="L39" s="429"/>
      <c r="M39" s="429"/>
      <c r="N39" s="429"/>
      <c r="O39" s="429"/>
      <c r="P39" s="429"/>
      <c r="Q39" s="429"/>
      <c r="R39" s="429"/>
    </row>
    <row r="40" spans="2:18">
      <c r="B40" s="429"/>
      <c r="C40" s="429"/>
      <c r="D40" s="429"/>
      <c r="E40" s="429"/>
      <c r="F40" s="429"/>
      <c r="G40" s="429"/>
      <c r="H40" s="429"/>
      <c r="I40" s="429"/>
      <c r="J40" s="429"/>
      <c r="K40" s="429"/>
      <c r="L40" s="429"/>
      <c r="M40" s="429"/>
      <c r="N40" s="429"/>
      <c r="O40" s="429"/>
      <c r="P40" s="429"/>
      <c r="Q40" s="429"/>
      <c r="R40" s="429"/>
    </row>
    <row r="41" spans="2:18">
      <c r="B41" s="429"/>
      <c r="C41" s="429"/>
      <c r="D41" s="429"/>
    </row>
    <row r="42" spans="2:18">
      <c r="B42" s="429"/>
      <c r="C42" s="429"/>
      <c r="D42" s="429"/>
    </row>
    <row r="43" spans="2:18">
      <c r="B43" s="429"/>
      <c r="C43" s="429"/>
      <c r="D43" s="429"/>
    </row>
    <row r="44" spans="2:18">
      <c r="B44" s="429"/>
      <c r="C44" s="429"/>
      <c r="D44" s="429"/>
    </row>
    <row r="45" spans="2:18">
      <c r="B45" s="429"/>
      <c r="C45" s="429"/>
      <c r="D45" s="429"/>
    </row>
    <row r="46" spans="2:18">
      <c r="B46" s="429"/>
      <c r="C46" s="429"/>
      <c r="D46" s="429"/>
    </row>
    <row r="47" spans="2:18">
      <c r="B47" s="429"/>
      <c r="C47" s="429"/>
      <c r="D47" s="429"/>
    </row>
    <row r="48" spans="2:18">
      <c r="B48" s="429"/>
      <c r="C48" s="429"/>
      <c r="D48" s="429"/>
    </row>
    <row r="49" spans="2:7">
      <c r="B49" s="429"/>
      <c r="C49" s="429"/>
      <c r="D49" s="429"/>
    </row>
    <row r="50" spans="2:7">
      <c r="B50" s="429"/>
      <c r="C50" s="429"/>
      <c r="D50" s="429"/>
    </row>
    <row r="51" spans="2:7">
      <c r="B51" s="429"/>
      <c r="C51" s="429"/>
      <c r="D51" s="429"/>
    </row>
    <row r="52" spans="2:7">
      <c r="B52" s="429"/>
      <c r="C52" s="429"/>
      <c r="D52" s="429"/>
    </row>
    <row r="53" spans="2:7" ht="15.75">
      <c r="B53" s="429"/>
      <c r="C53" s="614"/>
      <c r="D53" s="615"/>
      <c r="E53" s="355"/>
      <c r="F53" s="355"/>
      <c r="G53" s="355"/>
    </row>
    <row r="54" spans="2:7">
      <c r="B54" s="429"/>
      <c r="C54" s="614"/>
      <c r="D54" s="616"/>
      <c r="E54" s="355"/>
      <c r="F54" s="355"/>
      <c r="G54" s="355"/>
    </row>
    <row r="55" spans="2:7">
      <c r="B55" s="429"/>
      <c r="C55" s="614"/>
      <c r="D55" s="614"/>
      <c r="E55" s="355"/>
      <c r="F55" s="355"/>
      <c r="G55" s="355"/>
    </row>
    <row r="56" spans="2:7">
      <c r="B56" s="429"/>
      <c r="C56" s="614"/>
      <c r="D56" s="616"/>
      <c r="E56" s="355"/>
      <c r="F56" s="355"/>
      <c r="G56" s="355"/>
    </row>
    <row r="57" spans="2:7">
      <c r="B57" s="429"/>
      <c r="C57" s="614"/>
      <c r="D57" s="616"/>
      <c r="E57" s="355"/>
      <c r="F57" s="355"/>
      <c r="G57" s="355"/>
    </row>
    <row r="58" spans="2:7">
      <c r="B58" s="429"/>
      <c r="C58" s="614"/>
      <c r="D58" s="616"/>
      <c r="E58" s="355"/>
      <c r="F58" s="355"/>
      <c r="G58" s="355"/>
    </row>
    <row r="59" spans="2:7">
      <c r="C59" s="355"/>
      <c r="D59" s="432"/>
      <c r="E59" s="355"/>
      <c r="F59" s="355"/>
      <c r="G59" s="355"/>
    </row>
    <row r="60" spans="2:7">
      <c r="C60" s="355"/>
      <c r="D60" s="355"/>
      <c r="E60" s="355"/>
      <c r="F60" s="355"/>
      <c r="G60" s="355"/>
    </row>
    <row r="61" spans="2:7">
      <c r="C61" s="355"/>
      <c r="D61" s="431"/>
      <c r="E61" s="355"/>
      <c r="F61" s="431"/>
      <c r="G61" s="355"/>
    </row>
    <row r="62" spans="2:7" ht="15.75">
      <c r="C62" s="355"/>
      <c r="D62" s="433"/>
      <c r="E62" s="355"/>
      <c r="F62" s="355"/>
      <c r="G62" s="355"/>
    </row>
    <row r="63" spans="2:7">
      <c r="C63" s="355"/>
      <c r="D63" s="355"/>
      <c r="E63" s="355"/>
      <c r="F63" s="355"/>
      <c r="G63" s="355"/>
    </row>
    <row r="64" spans="2:7">
      <c r="C64" s="355"/>
      <c r="D64" s="355"/>
      <c r="E64" s="355"/>
      <c r="F64" s="355"/>
      <c r="G64" s="355"/>
    </row>
    <row r="65" spans="3:7">
      <c r="C65" s="355"/>
      <c r="D65" s="355"/>
      <c r="E65" s="355"/>
      <c r="F65" s="355"/>
      <c r="G65" s="355"/>
    </row>
    <row r="66" spans="3:7">
      <c r="C66" s="355"/>
      <c r="D66" s="355"/>
      <c r="E66" s="355"/>
      <c r="F66" s="355"/>
      <c r="G66" s="355"/>
    </row>
  </sheetData>
  <phoneticPr fontId="99" type="noConversion"/>
  <conditionalFormatting sqref="B31:P34">
    <cfRule type="cellIs" dxfId="4" priority="1" operator="greaterThan">
      <formula>1</formula>
    </cfRule>
    <cfRule type="cellIs" dxfId="3" priority="2" operator="equal">
      <formula>0</formula>
    </cfRule>
  </conditionalFormatting>
  <conditionalFormatting sqref="F61">
    <cfRule type="cellIs" dxfId="2" priority="19" operator="equal">
      <formula>0</formula>
    </cfRule>
  </conditionalFormatting>
  <conditionalFormatting sqref="R7:R22">
    <cfRule type="colorScale" priority="9">
      <colorScale>
        <cfvo type="min"/>
        <cfvo type="max"/>
        <color theme="9" tint="0.79998168889431442"/>
        <color rgb="FF7030A0"/>
      </colorScale>
    </cfRule>
    <cfRule type="colorScale" priority="10">
      <colorScale>
        <cfvo type="min"/>
        <cfvo type="max"/>
        <color theme="4" tint="0.79998168889431442"/>
        <color theme="4" tint="-0.249977111117893"/>
      </colorScale>
    </cfRule>
    <cfRule type="colorScale" priority="12">
      <colorScale>
        <cfvo type="min"/>
        <cfvo type="max"/>
        <color rgb="FF63BE7B"/>
        <color rgb="FFFCFCFF"/>
      </colorScale>
    </cfRule>
  </conditionalFormatting>
  <conditionalFormatting sqref="Z7:Z22">
    <cfRule type="dataBar" priority="13">
      <dataBar>
        <cfvo type="min"/>
        <cfvo type="max"/>
        <color rgb="FF638EC6"/>
      </dataBar>
      <extLst>
        <ext xmlns:x14="http://schemas.microsoft.com/office/spreadsheetml/2009/9/main" uri="{B025F937-C7B1-47D3-B67F-A62EFF666E3E}">
          <x14:id>{591DAF24-AB18-46EF-BCC5-679F529B3539}</x14:id>
        </ext>
      </extLst>
    </cfRule>
  </conditionalFormatting>
  <conditionalFormatting sqref="Z25:Z26 Z7:Z22">
    <cfRule type="dataBar" priority="26">
      <dataBar>
        <cfvo type="min"/>
        <cfvo type="max"/>
        <color rgb="FF638EC6"/>
      </dataBar>
      <extLst>
        <ext xmlns:x14="http://schemas.microsoft.com/office/spreadsheetml/2009/9/main" uri="{B025F937-C7B1-47D3-B67F-A62EFF666E3E}">
          <x14:id>{5348D528-5505-429D-BB92-02C8283DCA29}</x14:id>
        </ext>
      </extLst>
    </cfRule>
  </conditionalFormatting>
  <hyperlinks>
    <hyperlink ref="D4" r:id="rId1" display="Budget år 2023 LR" xr:uid="{00000000-0004-0000-0200-000001000000}"/>
  </hyperlinks>
  <pageMargins left="0.7" right="0.7" top="0.75" bottom="0.75" header="0.3" footer="0.3"/>
  <pageSetup paperSize="9" orientation="landscape" r:id="rId2"/>
  <extLst>
    <ext xmlns:x14="http://schemas.microsoft.com/office/spreadsheetml/2009/9/main" uri="{78C0D931-6437-407d-A8EE-F0AAD7539E65}">
      <x14:conditionalFormattings>
        <x14:conditionalFormatting xmlns:xm="http://schemas.microsoft.com/office/excel/2006/main">
          <x14:cfRule type="dataBar" id="{591DAF24-AB18-46EF-BCC5-679F529B3539}">
            <x14:dataBar minLength="0" maxLength="100" gradient="0">
              <x14:cfvo type="autoMin"/>
              <x14:cfvo type="autoMax"/>
              <x14:negativeFillColor rgb="FFFF0000"/>
              <x14:axisColor rgb="FF000000"/>
            </x14:dataBar>
          </x14:cfRule>
          <xm:sqref>Z7:Z22</xm:sqref>
        </x14:conditionalFormatting>
        <x14:conditionalFormatting xmlns:xm="http://schemas.microsoft.com/office/excel/2006/main">
          <x14:cfRule type="dataBar" id="{5348D528-5505-429D-BB92-02C8283DCA29}">
            <x14:dataBar minLength="0" maxLength="100" gradient="0">
              <x14:cfvo type="autoMin"/>
              <x14:cfvo type="autoMax"/>
              <x14:negativeFillColor rgb="FFFF0000"/>
              <x14:axisColor rgb="FF000000"/>
            </x14:dataBar>
          </x14:cfRule>
          <xm:sqref>Z25:Z26 Z7:Z22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3E3E5"/>
    <pageSetUpPr fitToPage="1"/>
  </sheetPr>
  <dimension ref="A1:Z126"/>
  <sheetViews>
    <sheetView topLeftCell="A16" zoomScale="70" zoomScaleNormal="70" workbookViewId="0">
      <selection activeCell="O33" sqref="O33:O34"/>
    </sheetView>
  </sheetViews>
  <sheetFormatPr defaultRowHeight="15"/>
  <cols>
    <col min="1" max="1" width="12.33203125" customWidth="1"/>
    <col min="2" max="2" width="10.77734375" customWidth="1"/>
    <col min="3" max="3" width="13.33203125" customWidth="1"/>
    <col min="4" max="4" width="13.109375" customWidth="1"/>
    <col min="5" max="5" width="13" customWidth="1"/>
    <col min="6" max="6" width="15.5546875" customWidth="1"/>
    <col min="7" max="7" width="10.6640625" customWidth="1"/>
    <col min="8" max="8" width="13.109375" customWidth="1"/>
    <col min="9" max="9" width="13.44140625" customWidth="1"/>
    <col min="10" max="10" width="12.21875" customWidth="1"/>
    <col min="11" max="11" width="12.44140625" customWidth="1"/>
    <col min="12" max="12" width="15.5546875" customWidth="1"/>
    <col min="13" max="13" width="9.33203125" customWidth="1"/>
    <col min="14" max="14" width="3.88671875" customWidth="1"/>
    <col min="15" max="15" width="11.21875" customWidth="1"/>
    <col min="16" max="16" width="7.5546875" customWidth="1"/>
    <col min="17" max="17" width="4" customWidth="1"/>
    <col min="18" max="18" width="5.5546875" hidden="1" customWidth="1"/>
    <col min="19" max="19" width="4.44140625" hidden="1" customWidth="1"/>
    <col min="20" max="20" width="4.33203125" customWidth="1"/>
    <col min="21" max="21" width="4.77734375" customWidth="1"/>
    <col min="22" max="22" width="4.88671875" customWidth="1"/>
    <col min="23" max="23" width="12.5546875" customWidth="1"/>
    <col min="24" max="24" width="12.21875" customWidth="1"/>
    <col min="25" max="25" width="37.88671875" customWidth="1"/>
  </cols>
  <sheetData>
    <row r="1" spans="1:26" ht="15.75">
      <c r="A1" s="11" t="s">
        <v>116</v>
      </c>
      <c r="Q1" s="554"/>
      <c r="R1" s="554"/>
      <c r="S1" s="554"/>
      <c r="T1" s="554"/>
    </row>
    <row r="3" spans="1:26" ht="16.5" thickBot="1">
      <c r="A3" s="82" t="s">
        <v>671</v>
      </c>
    </row>
    <row r="4" spans="1:26" ht="20.25">
      <c r="A4" s="488" t="s">
        <v>117</v>
      </c>
      <c r="F4" s="503"/>
      <c r="W4" s="519"/>
      <c r="X4" s="518"/>
      <c r="Y4" s="557" t="s">
        <v>75</v>
      </c>
    </row>
    <row r="5" spans="1:26" ht="60" customHeight="1">
      <c r="B5" s="369"/>
      <c r="F5" s="503"/>
      <c r="O5" t="s">
        <v>670</v>
      </c>
      <c r="W5">
        <v>2024</v>
      </c>
      <c r="X5">
        <v>2025</v>
      </c>
      <c r="Y5" s="558" t="s">
        <v>76</v>
      </c>
    </row>
    <row r="6" spans="1:26" s="55" customFormat="1" ht="71.25" customHeight="1">
      <c r="A6" s="886"/>
      <c r="B6" s="87" t="s">
        <v>118</v>
      </c>
      <c r="C6" s="87" t="s">
        <v>119</v>
      </c>
      <c r="D6" s="87" t="s">
        <v>120</v>
      </c>
      <c r="E6" s="87" t="s">
        <v>22</v>
      </c>
      <c r="F6" s="87" t="s">
        <v>121</v>
      </c>
      <c r="G6" s="87" t="s">
        <v>122</v>
      </c>
      <c r="H6" s="87" t="s">
        <v>123</v>
      </c>
      <c r="I6" s="87" t="s">
        <v>124</v>
      </c>
      <c r="J6" s="87" t="s">
        <v>62</v>
      </c>
      <c r="K6" s="87"/>
      <c r="L6" s="87" t="s">
        <v>67</v>
      </c>
      <c r="M6" s="87" t="s">
        <v>125</v>
      </c>
      <c r="N6" s="87"/>
      <c r="O6" s="87" t="s">
        <v>91</v>
      </c>
      <c r="P6" s="87" t="s">
        <v>125</v>
      </c>
      <c r="R6" s="419" t="s">
        <v>126</v>
      </c>
      <c r="S6" s="356" t="s">
        <v>127</v>
      </c>
      <c r="W6" s="87" t="s">
        <v>91</v>
      </c>
      <c r="X6" s="87" t="s">
        <v>91</v>
      </c>
      <c r="Y6" s="555" t="s">
        <v>91</v>
      </c>
    </row>
    <row r="7" spans="1:26" ht="21">
      <c r="A7" s="6" t="s">
        <v>93</v>
      </c>
      <c r="B7" s="323">
        <f>Skattekomplettering!B7</f>
        <v>0</v>
      </c>
      <c r="C7" s="323">
        <f>'Skola, STR &amp; Spcfr'!B7</f>
        <v>356474.67</v>
      </c>
      <c r="D7" s="323">
        <f>Barnomsorg!B6</f>
        <v>83422.409279999993</v>
      </c>
      <c r="E7" s="323">
        <f>'Skola, STR &amp; Spcfr'!C7</f>
        <v>0</v>
      </c>
      <c r="F7" s="323">
        <f>'Skola, STR &amp; Spcfr'!E7+'Skola, STR &amp; Spcfr'!F7</f>
        <v>0</v>
      </c>
      <c r="G7" s="323">
        <f>Specialfritids!D10</f>
        <v>0</v>
      </c>
      <c r="H7" s="323">
        <f>Sociala!B6</f>
        <v>255007.29</v>
      </c>
      <c r="I7" s="323">
        <f>Sociala!C6</f>
        <v>62810.79</v>
      </c>
      <c r="J7" s="323">
        <f>'Kultur&amp;Medis'!B6</f>
        <v>7857.16</v>
      </c>
      <c r="K7" s="323"/>
      <c r="L7" s="887">
        <f t="shared" ref="L7:L22" si="0">SUM(B7:K7)</f>
        <v>765572.31928000005</v>
      </c>
      <c r="M7" s="882">
        <f t="shared" ref="M7:M22" si="1">L7/R7</f>
        <v>1701.2718206222223</v>
      </c>
      <c r="N7" s="882"/>
      <c r="O7" s="884">
        <f>L7-I7</f>
        <v>702761.52928000002</v>
      </c>
      <c r="P7" s="882">
        <f>O7/R7</f>
        <v>1561.692287288889</v>
      </c>
      <c r="R7" s="418">
        <v>450</v>
      </c>
      <c r="S7" s="312">
        <v>34</v>
      </c>
      <c r="W7" s="884">
        <v>757212</v>
      </c>
      <c r="X7" s="784">
        <f>O7</f>
        <v>702761.52928000002</v>
      </c>
      <c r="Y7" s="559">
        <f t="shared" ref="Y7:Y22" si="2">O7-W7</f>
        <v>-54450.470719999983</v>
      </c>
      <c r="Z7" s="6" t="s">
        <v>93</v>
      </c>
    </row>
    <row r="8" spans="1:26" ht="21">
      <c r="A8" s="6" t="s">
        <v>94</v>
      </c>
      <c r="B8" s="323">
        <f>Skattekomplettering!B8</f>
        <v>1234667.81</v>
      </c>
      <c r="C8" s="323">
        <f>'Skola, STR &amp; Spcfr'!B8</f>
        <v>396383.99</v>
      </c>
      <c r="D8" s="323">
        <f>Barnomsorg!B7</f>
        <v>139521.70022</v>
      </c>
      <c r="E8" s="323">
        <f>'Skola, STR &amp; Spcfr'!C8</f>
        <v>117324.69</v>
      </c>
      <c r="F8" s="323">
        <f>'Skola, STR &amp; Spcfr'!E8+'Skola, STR &amp; Spcfr'!F8</f>
        <v>0</v>
      </c>
      <c r="G8" s="323">
        <f>Specialfritids!D11</f>
        <v>34341.339999999997</v>
      </c>
      <c r="H8" s="323">
        <f>Sociala!B7</f>
        <v>192405.95</v>
      </c>
      <c r="I8" s="323">
        <f>Sociala!C7</f>
        <v>135705.88</v>
      </c>
      <c r="J8" s="323">
        <f>'Kultur&amp;Medis'!B7</f>
        <v>16975.78</v>
      </c>
      <c r="K8" s="323"/>
      <c r="L8" s="887">
        <f t="shared" si="0"/>
        <v>2267327.1402199999</v>
      </c>
      <c r="M8" s="882">
        <f t="shared" si="1"/>
        <v>2414.6188926730565</v>
      </c>
      <c r="N8" s="882"/>
      <c r="O8" s="884">
        <f t="shared" ref="O8:O22" si="3">L8-I8</f>
        <v>2131621.2602200001</v>
      </c>
      <c r="P8" s="882">
        <f t="shared" ref="P8:P21" si="4">O8/R8</f>
        <v>2270.0971887326946</v>
      </c>
      <c r="R8" s="418">
        <v>939</v>
      </c>
      <c r="S8" s="312">
        <v>90</v>
      </c>
      <c r="W8" s="884">
        <v>2015839</v>
      </c>
      <c r="X8" s="784">
        <f t="shared" ref="X8:X22" si="5">O8</f>
        <v>2131621.2602200001</v>
      </c>
      <c r="Y8" s="559">
        <f t="shared" si="2"/>
        <v>115782.26022000005</v>
      </c>
      <c r="Z8" s="6" t="s">
        <v>94</v>
      </c>
    </row>
    <row r="9" spans="1:26" ht="21">
      <c r="A9" s="6" t="s">
        <v>95</v>
      </c>
      <c r="B9" s="323">
        <f>Skattekomplettering!B9</f>
        <v>2815081.78</v>
      </c>
      <c r="C9" s="323">
        <f>'Skola, STR &amp; Spcfr'!B9</f>
        <v>499702.93</v>
      </c>
      <c r="D9" s="323">
        <f>Barnomsorg!B8</f>
        <v>430388.97355999995</v>
      </c>
      <c r="E9" s="323">
        <f>'Skola, STR &amp; Spcfr'!C9</f>
        <v>195541.15</v>
      </c>
      <c r="F9" s="323">
        <f>'Skola, STR &amp; Spcfr'!E9+'Skola, STR &amp; Spcfr'!F9</f>
        <v>211906.56</v>
      </c>
      <c r="G9" s="323">
        <f>Specialfritids!D12</f>
        <v>68682.679999999993</v>
      </c>
      <c r="H9" s="323">
        <f>Sociala!B8</f>
        <v>426035.72</v>
      </c>
      <c r="I9" s="323">
        <f>Sociala!C8</f>
        <v>376000.36</v>
      </c>
      <c r="J9" s="323">
        <f>'Kultur&amp;Medis'!B8</f>
        <v>47034.81</v>
      </c>
      <c r="K9" s="323"/>
      <c r="L9" s="887">
        <f t="shared" si="0"/>
        <v>5070374.9635599991</v>
      </c>
      <c r="M9" s="882">
        <f t="shared" si="1"/>
        <v>1959.1866165224108</v>
      </c>
      <c r="N9" s="882"/>
      <c r="O9" s="884">
        <f t="shared" si="3"/>
        <v>4694374.6035599988</v>
      </c>
      <c r="P9" s="882">
        <f t="shared" si="4"/>
        <v>1813.9005423338481</v>
      </c>
      <c r="R9" s="418">
        <v>2588</v>
      </c>
      <c r="S9" s="312">
        <v>324</v>
      </c>
      <c r="W9" s="884">
        <v>4145310</v>
      </c>
      <c r="X9" s="784">
        <f t="shared" si="5"/>
        <v>4694374.6035599988</v>
      </c>
      <c r="Y9" s="559">
        <f t="shared" si="2"/>
        <v>549064.6035599988</v>
      </c>
      <c r="Z9" s="6" t="s">
        <v>95</v>
      </c>
    </row>
    <row r="10" spans="1:26" ht="21">
      <c r="A10" s="6" t="s">
        <v>96</v>
      </c>
      <c r="B10" s="323">
        <f>Skattekomplettering!B10</f>
        <v>539897.48</v>
      </c>
      <c r="C10" s="323">
        <f>'Skola, STR &amp; Spcfr'!B10</f>
        <v>529067.59</v>
      </c>
      <c r="D10" s="323">
        <f>Barnomsorg!B9</f>
        <v>139550.19147999998</v>
      </c>
      <c r="E10" s="323">
        <f>'Skola, STR &amp; Spcfr'!C10</f>
        <v>39108.230000000003</v>
      </c>
      <c r="F10" s="323">
        <f>'Skola, STR &amp; Spcfr'!E10+'Skola, STR &amp; Spcfr'!F10</f>
        <v>0</v>
      </c>
      <c r="G10" s="323">
        <f>Specialfritids!D13</f>
        <v>0</v>
      </c>
      <c r="H10" s="323">
        <f>Sociala!B9</f>
        <v>280173.53000000003</v>
      </c>
      <c r="I10" s="323">
        <f>Sociala!C9</f>
        <v>73327.27</v>
      </c>
      <c r="J10" s="323">
        <f>'Kultur&amp;Medis'!B9</f>
        <v>9172.69</v>
      </c>
      <c r="K10" s="323"/>
      <c r="L10" s="887">
        <f t="shared" si="0"/>
        <v>1610296.9814799998</v>
      </c>
      <c r="M10" s="882">
        <f t="shared" si="1"/>
        <v>3195.0336934126981</v>
      </c>
      <c r="N10" s="882"/>
      <c r="O10" s="884">
        <f t="shared" si="3"/>
        <v>1536969.7114799998</v>
      </c>
      <c r="P10" s="882">
        <f t="shared" si="4"/>
        <v>3049.5430783333331</v>
      </c>
      <c r="R10" s="418">
        <v>504</v>
      </c>
      <c r="S10" s="312">
        <v>49</v>
      </c>
      <c r="W10" s="884">
        <v>1474871</v>
      </c>
      <c r="X10" s="784">
        <f t="shared" si="5"/>
        <v>1536969.7114799998</v>
      </c>
      <c r="Y10" s="559">
        <f t="shared" si="2"/>
        <v>62098.711479999823</v>
      </c>
      <c r="Z10" s="6" t="s">
        <v>96</v>
      </c>
    </row>
    <row r="11" spans="1:26" ht="21">
      <c r="A11" s="6" t="s">
        <v>97</v>
      </c>
      <c r="B11" s="323">
        <f>Skattekomplettering!B11</f>
        <v>1070923.78</v>
      </c>
      <c r="C11" s="323">
        <f>'Skola, STR &amp; Spcfr'!B11</f>
        <v>316431.53000000003</v>
      </c>
      <c r="D11" s="323">
        <f>Barnomsorg!B10</f>
        <v>80402.335720000003</v>
      </c>
      <c r="E11" s="323">
        <f>'Skola, STR &amp; Spcfr'!C11</f>
        <v>78216.460000000006</v>
      </c>
      <c r="F11" s="323">
        <f>'Skola, STR &amp; Spcfr'!E11+'Skola, STR &amp; Spcfr'!F11</f>
        <v>15933.63</v>
      </c>
      <c r="G11" s="323">
        <f>Specialfritids!D14</f>
        <v>0</v>
      </c>
      <c r="H11" s="323">
        <f>Sociala!B10</f>
        <v>107053.55</v>
      </c>
      <c r="I11" s="323">
        <f>Sociala!C10</f>
        <v>73327.27</v>
      </c>
      <c r="J11" s="323">
        <f>'Kultur&amp;Medis'!B10</f>
        <v>9172.69</v>
      </c>
      <c r="K11" s="323"/>
      <c r="L11" s="887">
        <f t="shared" si="0"/>
        <v>1751461.24572</v>
      </c>
      <c r="M11" s="882">
        <f t="shared" si="1"/>
        <v>3454.5586700591716</v>
      </c>
      <c r="N11" s="882"/>
      <c r="O11" s="884">
        <f t="shared" si="3"/>
        <v>1678133.97572</v>
      </c>
      <c r="P11" s="882">
        <f t="shared" si="4"/>
        <v>3309.928946193294</v>
      </c>
      <c r="R11" s="418">
        <v>507</v>
      </c>
      <c r="S11" s="312">
        <v>55</v>
      </c>
      <c r="W11" s="884">
        <v>1624232</v>
      </c>
      <c r="X11" s="784">
        <f t="shared" si="5"/>
        <v>1678133.97572</v>
      </c>
      <c r="Y11" s="559">
        <f t="shared" si="2"/>
        <v>53901.975719999988</v>
      </c>
      <c r="Z11" s="6" t="s">
        <v>97</v>
      </c>
    </row>
    <row r="12" spans="1:26" ht="21">
      <c r="A12" s="6" t="s">
        <v>98</v>
      </c>
      <c r="B12" s="323">
        <f>Skattekomplettering!B12</f>
        <v>2358487.65</v>
      </c>
      <c r="C12" s="323">
        <f>'Skola, STR &amp; Spcfr'!B12</f>
        <v>453251.58</v>
      </c>
      <c r="D12" s="323">
        <f>Barnomsorg!B11</f>
        <v>286137.72418000002</v>
      </c>
      <c r="E12" s="323">
        <f>'Skola, STR &amp; Spcfr'!C12</f>
        <v>78216.460000000006</v>
      </c>
      <c r="F12" s="323">
        <f>'Skola, STR &amp; Spcfr'!E12+'Skola, STR &amp; Spcfr'!F12</f>
        <v>31867.26</v>
      </c>
      <c r="G12" s="323">
        <f>Specialfritids!D15</f>
        <v>17170.669999999998</v>
      </c>
      <c r="H12" s="323">
        <f>Sociala!B11</f>
        <v>288459.45</v>
      </c>
      <c r="I12" s="323">
        <f>Sociala!C11</f>
        <v>237125.13</v>
      </c>
      <c r="J12" s="323">
        <f>'Kultur&amp;Medis'!B11</f>
        <v>29662.57</v>
      </c>
      <c r="K12" s="323"/>
      <c r="L12" s="887">
        <f t="shared" si="0"/>
        <v>3780378.4941799995</v>
      </c>
      <c r="M12" s="882">
        <f t="shared" si="1"/>
        <v>2322.0998121498769</v>
      </c>
      <c r="N12" s="882"/>
      <c r="O12" s="884">
        <f t="shared" si="3"/>
        <v>3543253.3641799996</v>
      </c>
      <c r="P12" s="882">
        <f t="shared" si="4"/>
        <v>2176.4455553931202</v>
      </c>
      <c r="R12" s="418">
        <v>1628</v>
      </c>
      <c r="S12" s="312">
        <v>194</v>
      </c>
      <c r="U12" s="413"/>
      <c r="V12" s="413"/>
      <c r="W12" s="884">
        <v>3326098</v>
      </c>
      <c r="X12" s="784">
        <f t="shared" si="5"/>
        <v>3543253.3641799996</v>
      </c>
      <c r="Y12" s="559">
        <f t="shared" si="2"/>
        <v>217155.36417999957</v>
      </c>
      <c r="Z12" s="6" t="s">
        <v>98</v>
      </c>
    </row>
    <row r="13" spans="1:26" ht="21">
      <c r="A13" s="6" t="s">
        <v>99</v>
      </c>
      <c r="B13" s="323">
        <f>Skattekomplettering!B13</f>
        <v>3074878.35</v>
      </c>
      <c r="C13" s="323">
        <f>'Skola, STR &amp; Spcfr'!B13</f>
        <v>661226.96</v>
      </c>
      <c r="D13" s="323">
        <f>Barnomsorg!B12</f>
        <v>1224953.2324399999</v>
      </c>
      <c r="E13" s="323">
        <f>'Skola, STR &amp; Spcfr'!C13</f>
        <v>469298.76</v>
      </c>
      <c r="F13" s="323">
        <f>'Skola, STR &amp; Spcfr'!E13+'Skola, STR &amp; Spcfr'!F13</f>
        <v>0</v>
      </c>
      <c r="G13" s="323">
        <f>Specialfritids!D16</f>
        <v>171706.7</v>
      </c>
      <c r="H13" s="323">
        <f>Sociala!B12</f>
        <v>571166.68999999994</v>
      </c>
      <c r="I13" s="323">
        <f>Sociala!C12</f>
        <v>820718.02</v>
      </c>
      <c r="J13" s="323">
        <f>'Kultur&amp;Medis'!B12</f>
        <v>102665.64</v>
      </c>
      <c r="K13" s="323"/>
      <c r="L13" s="887">
        <f t="shared" si="0"/>
        <v>7096614.3524399986</v>
      </c>
      <c r="M13" s="882">
        <f t="shared" si="1"/>
        <v>1264.9936457112296</v>
      </c>
      <c r="N13" s="882"/>
      <c r="O13" s="884">
        <f t="shared" si="3"/>
        <v>6275896.3324399982</v>
      </c>
      <c r="P13" s="882">
        <f t="shared" si="4"/>
        <v>1118.6980984741529</v>
      </c>
      <c r="R13" s="418">
        <v>5610</v>
      </c>
      <c r="S13" s="312">
        <v>778</v>
      </c>
      <c r="U13" s="2"/>
      <c r="V13" s="2"/>
      <c r="W13" s="884">
        <v>5752733</v>
      </c>
      <c r="X13" s="784">
        <f t="shared" si="5"/>
        <v>6275896.3324399982</v>
      </c>
      <c r="Y13" s="559">
        <f t="shared" si="2"/>
        <v>523163.33243999816</v>
      </c>
      <c r="Z13" s="6" t="s">
        <v>99</v>
      </c>
    </row>
    <row r="14" spans="1:26" ht="21">
      <c r="A14" s="6" t="s">
        <v>100</v>
      </c>
      <c r="B14" s="323">
        <f>Skattekomplettering!B14</f>
        <v>287263.88</v>
      </c>
      <c r="C14" s="323">
        <f>'Skola, STR &amp; Spcfr'!B14</f>
        <v>221260.14</v>
      </c>
      <c r="D14" s="323">
        <f>Barnomsorg!B13</f>
        <v>67780.707539999989</v>
      </c>
      <c r="E14" s="323">
        <f>'Skola, STR &amp; Spcfr'!C14</f>
        <v>0</v>
      </c>
      <c r="F14" s="323">
        <f>'Skola, STR &amp; Spcfr'!E14+'Skola, STR &amp; Spcfr'!F14</f>
        <v>35046.839999999997</v>
      </c>
      <c r="G14" s="323">
        <f>Specialfritids!D17</f>
        <v>0</v>
      </c>
      <c r="H14" s="323">
        <f>Sociala!B13</f>
        <v>288143.12</v>
      </c>
      <c r="I14" s="323">
        <f>Sociala!C13</f>
        <v>41777.82</v>
      </c>
      <c r="J14" s="323">
        <f>'Kultur&amp;Medis'!B13</f>
        <v>5226.09</v>
      </c>
      <c r="K14" s="323"/>
      <c r="L14" s="887">
        <f t="shared" si="0"/>
        <v>946498.59753999987</v>
      </c>
      <c r="M14" s="882">
        <f t="shared" si="1"/>
        <v>3093.1326716993458</v>
      </c>
      <c r="N14" s="882"/>
      <c r="O14" s="884">
        <f t="shared" si="3"/>
        <v>904720.77753999992</v>
      </c>
      <c r="P14" s="882">
        <f t="shared" si="4"/>
        <v>2956.6038481699343</v>
      </c>
      <c r="R14" s="418">
        <v>306</v>
      </c>
      <c r="S14" s="312">
        <v>19</v>
      </c>
      <c r="W14" s="884">
        <v>920906</v>
      </c>
      <c r="X14" s="784">
        <f t="shared" si="5"/>
        <v>904720.77753999992</v>
      </c>
      <c r="Y14" s="559">
        <f t="shared" si="2"/>
        <v>-16185.222460000077</v>
      </c>
      <c r="Z14" s="6" t="s">
        <v>100</v>
      </c>
    </row>
    <row r="15" spans="1:26" ht="21">
      <c r="A15" s="6" t="s">
        <v>101</v>
      </c>
      <c r="B15" s="323">
        <f>Skattekomplettering!B15</f>
        <v>360209.84</v>
      </c>
      <c r="C15" s="323">
        <f>'Skola, STR &amp; Spcfr'!B15</f>
        <v>24584.46</v>
      </c>
      <c r="D15" s="323">
        <f>Barnomsorg!B14</f>
        <v>46925.105219999998</v>
      </c>
      <c r="E15" s="323">
        <f>'Skola, STR &amp; Spcfr'!C15</f>
        <v>0</v>
      </c>
      <c r="F15" s="323">
        <f>'Skola, STR &amp; Spcfr'!E15+'Skola, STR &amp; Spcfr'!F15</f>
        <v>31867.26</v>
      </c>
      <c r="G15" s="323">
        <f>Specialfritids!D18</f>
        <v>0</v>
      </c>
      <c r="H15" s="323">
        <f>Sociala!B14</f>
        <v>184349.14</v>
      </c>
      <c r="I15" s="323">
        <f>Sociala!C14</f>
        <v>32413.82</v>
      </c>
      <c r="J15" s="323">
        <f>'Kultur&amp;Medis'!B14</f>
        <v>4054.73</v>
      </c>
      <c r="K15" s="323"/>
      <c r="L15" s="887">
        <f t="shared" si="0"/>
        <v>684404.35522000003</v>
      </c>
      <c r="M15" s="882">
        <f t="shared" si="1"/>
        <v>3069.0778260986549</v>
      </c>
      <c r="N15" s="882"/>
      <c r="O15" s="884">
        <f t="shared" si="3"/>
        <v>651990.53522000008</v>
      </c>
      <c r="P15" s="882">
        <f t="shared" si="4"/>
        <v>2923.7243731838566</v>
      </c>
      <c r="R15" s="418">
        <v>223</v>
      </c>
      <c r="S15" s="312">
        <v>4</v>
      </c>
      <c r="W15" s="884">
        <v>567397</v>
      </c>
      <c r="X15" s="784">
        <f t="shared" si="5"/>
        <v>651990.53522000008</v>
      </c>
      <c r="Y15" s="559">
        <f t="shared" si="2"/>
        <v>84593.535220000078</v>
      </c>
      <c r="Z15" s="6" t="s">
        <v>101</v>
      </c>
    </row>
    <row r="16" spans="1:26" ht="21">
      <c r="A16" s="6" t="s">
        <v>102</v>
      </c>
      <c r="B16" s="323">
        <f>Skattekomplettering!B16</f>
        <v>1953960.17</v>
      </c>
      <c r="C16" s="323">
        <f>'Skola, STR &amp; Spcfr'!B16</f>
        <v>499702.93</v>
      </c>
      <c r="D16" s="323">
        <f>Barnomsorg!B15</f>
        <v>454036.71936000005</v>
      </c>
      <c r="E16" s="323">
        <f>'Skola, STR &amp; Spcfr'!C16</f>
        <v>39108.230000000003</v>
      </c>
      <c r="F16" s="323">
        <f>'Skola, STR &amp; Spcfr'!E16+'Skola, STR &amp; Spcfr'!F16</f>
        <v>49390.679999999993</v>
      </c>
      <c r="G16" s="323">
        <f>Specialfritids!D19</f>
        <v>17170.669999999998</v>
      </c>
      <c r="H16" s="323">
        <f>Sociala!B15</f>
        <v>252451.27</v>
      </c>
      <c r="I16" s="323">
        <f>Sociala!C15</f>
        <v>306418.68</v>
      </c>
      <c r="J16" s="323">
        <f>'Kultur&amp;Medis'!B15</f>
        <v>38330.67</v>
      </c>
      <c r="K16" s="323"/>
      <c r="L16" s="887">
        <f t="shared" si="0"/>
        <v>3610570.0193600003</v>
      </c>
      <c r="M16" s="882">
        <f t="shared" si="1"/>
        <v>1694.3078457813235</v>
      </c>
      <c r="N16" s="882"/>
      <c r="O16" s="884">
        <f t="shared" si="3"/>
        <v>3304151.3393600001</v>
      </c>
      <c r="P16" s="882">
        <f t="shared" si="4"/>
        <v>1550.5168180947912</v>
      </c>
      <c r="R16" s="418">
        <v>2131</v>
      </c>
      <c r="S16" s="312">
        <v>313</v>
      </c>
      <c r="W16" s="884">
        <v>3213124</v>
      </c>
      <c r="X16" s="784">
        <f t="shared" si="5"/>
        <v>3304151.3393600001</v>
      </c>
      <c r="Y16" s="559">
        <f t="shared" si="2"/>
        <v>91027.3393600001</v>
      </c>
      <c r="Z16" s="6" t="s">
        <v>102</v>
      </c>
    </row>
    <row r="17" spans="1:26" ht="21">
      <c r="A17" s="6" t="s">
        <v>103</v>
      </c>
      <c r="B17" s="323">
        <f>Skattekomplettering!B17</f>
        <v>319736.71999999997</v>
      </c>
      <c r="C17" s="323">
        <f>'Skola, STR &amp; Spcfr'!B17</f>
        <v>221699.15</v>
      </c>
      <c r="D17" s="323">
        <f>Barnomsorg!B16</f>
        <v>47295.491600000001</v>
      </c>
      <c r="E17" s="323">
        <f>'Skola, STR &amp; Spcfr'!C17</f>
        <v>0</v>
      </c>
      <c r="F17" s="323">
        <f>'Skola, STR &amp; Spcfr'!E17+'Skola, STR &amp; Spcfr'!F17</f>
        <v>0</v>
      </c>
      <c r="G17" s="323">
        <f>Specialfritids!D20</f>
        <v>0</v>
      </c>
      <c r="H17" s="323">
        <f>Sociala!B16</f>
        <v>85489.47</v>
      </c>
      <c r="I17" s="323">
        <f>Sociala!C16</f>
        <v>52726.49</v>
      </c>
      <c r="J17" s="323">
        <f>'Kultur&amp;Medis'!B16</f>
        <v>6595.69</v>
      </c>
      <c r="K17" s="323"/>
      <c r="L17" s="887">
        <f t="shared" si="0"/>
        <v>733543.01159999985</v>
      </c>
      <c r="M17" s="882">
        <f t="shared" si="1"/>
        <v>2037.6194766666663</v>
      </c>
      <c r="N17" s="882"/>
      <c r="O17" s="884">
        <f t="shared" si="3"/>
        <v>680816.52159999986</v>
      </c>
      <c r="P17" s="882">
        <f t="shared" si="4"/>
        <v>1891.1570044444441</v>
      </c>
      <c r="R17" s="418">
        <v>360</v>
      </c>
      <c r="S17" s="312">
        <v>43</v>
      </c>
      <c r="W17" s="884">
        <v>711871</v>
      </c>
      <c r="X17" s="784">
        <f t="shared" si="5"/>
        <v>680816.52159999986</v>
      </c>
      <c r="Y17" s="559">
        <f t="shared" si="2"/>
        <v>-31054.478400000138</v>
      </c>
      <c r="Z17" s="6" t="s">
        <v>103</v>
      </c>
    </row>
    <row r="18" spans="1:26" ht="21">
      <c r="A18" s="6" t="s">
        <v>104</v>
      </c>
      <c r="B18" s="323">
        <f>Skattekomplettering!B18</f>
        <v>1293625.1399999999</v>
      </c>
      <c r="C18" s="323">
        <f>'Skola, STR &amp; Spcfr'!B18</f>
        <v>464160.61</v>
      </c>
      <c r="D18" s="323">
        <f>Barnomsorg!B17</f>
        <v>271949.07670000003</v>
      </c>
      <c r="E18" s="323">
        <f>'Skola, STR &amp; Spcfr'!C18</f>
        <v>156432.92000000001</v>
      </c>
      <c r="F18" s="323">
        <f>'Skola, STR &amp; Spcfr'!E18+'Skola, STR &amp; Spcfr'!F18</f>
        <v>15933.63</v>
      </c>
      <c r="G18" s="323">
        <f>Specialfritids!D21</f>
        <v>51512.01</v>
      </c>
      <c r="H18" s="323">
        <f>Sociala!B17</f>
        <v>380215.39</v>
      </c>
      <c r="I18" s="323">
        <f>Sociala!C17</f>
        <v>258014.04</v>
      </c>
      <c r="J18" s="323">
        <f>'Kultur&amp;Medis'!B17</f>
        <v>32275.61</v>
      </c>
      <c r="K18" s="323"/>
      <c r="L18" s="887">
        <f t="shared" si="0"/>
        <v>2924118.4266999997</v>
      </c>
      <c r="M18" s="882">
        <f t="shared" si="1"/>
        <v>1630.8524409927495</v>
      </c>
      <c r="N18" s="882"/>
      <c r="O18" s="884">
        <f t="shared" si="3"/>
        <v>2666104.3866999997</v>
      </c>
      <c r="P18" s="882">
        <f t="shared" si="4"/>
        <v>1486.9516936419407</v>
      </c>
      <c r="R18" s="418">
        <v>1793</v>
      </c>
      <c r="S18" s="312">
        <v>229</v>
      </c>
      <c r="W18" s="884">
        <v>2737946</v>
      </c>
      <c r="X18" s="784">
        <f t="shared" si="5"/>
        <v>2666104.3866999997</v>
      </c>
      <c r="Y18" s="559">
        <f t="shared" si="2"/>
        <v>-71841.613300000317</v>
      </c>
      <c r="Z18" s="6" t="s">
        <v>104</v>
      </c>
    </row>
    <row r="19" spans="1:26" ht="21">
      <c r="A19" s="6" t="s">
        <v>105</v>
      </c>
      <c r="B19" s="323">
        <f>Skattekomplettering!B19</f>
        <v>106097.7</v>
      </c>
      <c r="C19" s="323">
        <f>'Skola, STR &amp; Spcfr'!B19</f>
        <v>196675.68</v>
      </c>
      <c r="D19" s="323">
        <f>Barnomsorg!B18</f>
        <v>36497.304059999995</v>
      </c>
      <c r="E19" s="323">
        <f>'Skola, STR &amp; Spcfr'!C19</f>
        <v>0</v>
      </c>
      <c r="F19" s="323">
        <f>'Skola, STR &amp; Spcfr'!E19+'Skola, STR &amp; Spcfr'!F19</f>
        <v>0</v>
      </c>
      <c r="G19" s="323">
        <f>Specialfritids!D22</f>
        <v>0</v>
      </c>
      <c r="H19" s="323">
        <f>Sociala!B18</f>
        <v>61042.12</v>
      </c>
      <c r="I19" s="323">
        <f>Sociala!C18</f>
        <v>16567.07</v>
      </c>
      <c r="J19" s="323">
        <f>'Kultur&amp;Medis'!B18</f>
        <v>2072.42</v>
      </c>
      <c r="K19" s="323"/>
      <c r="L19" s="887">
        <f t="shared" si="0"/>
        <v>418952.29405999999</v>
      </c>
      <c r="M19" s="882">
        <f t="shared" si="1"/>
        <v>3774.3449915315314</v>
      </c>
      <c r="N19" s="882"/>
      <c r="O19" s="884">
        <f t="shared" si="3"/>
        <v>402385.22405999998</v>
      </c>
      <c r="P19" s="882">
        <f t="shared" si="4"/>
        <v>3625.0921086486483</v>
      </c>
      <c r="R19" s="418">
        <v>111</v>
      </c>
      <c r="S19" s="312">
        <v>12</v>
      </c>
      <c r="W19" s="884">
        <v>337341</v>
      </c>
      <c r="X19" s="784">
        <f t="shared" si="5"/>
        <v>402385.22405999998</v>
      </c>
      <c r="Y19" s="559">
        <f t="shared" si="2"/>
        <v>65044.224059999979</v>
      </c>
      <c r="Z19" s="6" t="s">
        <v>105</v>
      </c>
    </row>
    <row r="20" spans="1:26" ht="21">
      <c r="A20" s="6" t="s">
        <v>106</v>
      </c>
      <c r="B20" s="323">
        <f>Skattekomplettering!B20</f>
        <v>1237821.47</v>
      </c>
      <c r="C20" s="323">
        <f>'Skola, STR &amp; Spcfr'!B20</f>
        <v>411586.22</v>
      </c>
      <c r="D20" s="323">
        <f>Barnomsorg!B19</f>
        <v>132427.37648000001</v>
      </c>
      <c r="E20" s="323">
        <f>'Skola, STR &amp; Spcfr'!C20</f>
        <v>156432.92000000001</v>
      </c>
      <c r="F20" s="323">
        <f>'Skola, STR &amp; Spcfr'!E20+'Skola, STR &amp; Spcfr'!F20</f>
        <v>0</v>
      </c>
      <c r="G20" s="323">
        <f>Specialfritids!D23</f>
        <v>34341.339999999997</v>
      </c>
      <c r="H20" s="323">
        <f>Sociala!B19</f>
        <v>188357.5</v>
      </c>
      <c r="I20" s="323">
        <f>Sociala!C19</f>
        <v>143341.13</v>
      </c>
      <c r="J20" s="323">
        <f>'Kultur&amp;Medis'!B19</f>
        <v>17930.900000000001</v>
      </c>
      <c r="K20" s="323"/>
      <c r="L20" s="887">
        <f t="shared" si="0"/>
        <v>2322238.8564800001</v>
      </c>
      <c r="M20" s="882">
        <f t="shared" si="1"/>
        <v>2319.9189375424576</v>
      </c>
      <c r="N20" s="882"/>
      <c r="O20" s="884">
        <f t="shared" si="3"/>
        <v>2178897.7264800002</v>
      </c>
      <c r="P20" s="882">
        <f t="shared" si="4"/>
        <v>2176.7210054745256</v>
      </c>
      <c r="R20" s="418">
        <v>1001</v>
      </c>
      <c r="S20" s="312">
        <v>112</v>
      </c>
      <c r="U20" s="2"/>
      <c r="V20" s="2"/>
      <c r="W20" s="884">
        <v>2027251</v>
      </c>
      <c r="X20" s="784">
        <f t="shared" si="5"/>
        <v>2178897.7264800002</v>
      </c>
      <c r="Y20" s="559">
        <f t="shared" si="2"/>
        <v>151646.72648000019</v>
      </c>
      <c r="Z20" s="6" t="s">
        <v>106</v>
      </c>
    </row>
    <row r="21" spans="1:26" ht="21">
      <c r="A21" s="6" t="s">
        <v>107</v>
      </c>
      <c r="B21" s="323">
        <f>Skattekomplettering!B21</f>
        <v>727979.14</v>
      </c>
      <c r="C21" s="323">
        <f>'Skola, STR &amp; Spcfr'!B21</f>
        <v>386076.37</v>
      </c>
      <c r="D21" s="323">
        <f>Barnomsorg!B20</f>
        <v>211576.09675999999</v>
      </c>
      <c r="E21" s="323">
        <f>'Skola, STR &amp; Spcfr'!C21</f>
        <v>0</v>
      </c>
      <c r="F21" s="323">
        <f>'Skola, STR &amp; Spcfr'!E21+'Skola, STR &amp; Spcfr'!F21</f>
        <v>15933.63</v>
      </c>
      <c r="G21" s="323">
        <f>Specialfritids!D24</f>
        <v>0</v>
      </c>
      <c r="H21" s="323">
        <f>Sociala!B20</f>
        <v>239096.27</v>
      </c>
      <c r="I21" s="323">
        <f>Sociala!C20</f>
        <v>67852.94</v>
      </c>
      <c r="J21" s="323">
        <f>'Kultur&amp;Medis'!B20</f>
        <v>8487.89</v>
      </c>
      <c r="K21" s="323"/>
      <c r="L21" s="887">
        <f t="shared" si="0"/>
        <v>1657002.3367599996</v>
      </c>
      <c r="M21" s="882">
        <f t="shared" si="1"/>
        <v>3674.0628309534359</v>
      </c>
      <c r="N21" s="882"/>
      <c r="O21" s="884">
        <f t="shared" si="3"/>
        <v>1589149.3967599997</v>
      </c>
      <c r="P21" s="882">
        <f t="shared" si="4"/>
        <v>3523.6128531263853</v>
      </c>
      <c r="R21" s="418">
        <v>451</v>
      </c>
      <c r="S21" s="312">
        <v>42</v>
      </c>
      <c r="W21" s="884">
        <v>1572990</v>
      </c>
      <c r="X21" s="784">
        <f t="shared" si="5"/>
        <v>1589149.3967599997</v>
      </c>
      <c r="Y21" s="559">
        <f t="shared" si="2"/>
        <v>16159.396759999683</v>
      </c>
      <c r="Z21" s="6" t="s">
        <v>107</v>
      </c>
    </row>
    <row r="22" spans="1:26" ht="21">
      <c r="A22" s="6" t="s">
        <v>108</v>
      </c>
      <c r="B22" s="323">
        <f>Skattekomplettering!B22</f>
        <v>547136.74</v>
      </c>
      <c r="C22" s="323">
        <f>'Skola, STR &amp; Spcfr'!B22</f>
        <v>825918.13</v>
      </c>
      <c r="D22" s="323">
        <f>Barnomsorg!B21</f>
        <v>1473254.5633400001</v>
      </c>
      <c r="E22" s="323">
        <f>'Skola, STR &amp; Spcfr'!C22</f>
        <v>273757.61</v>
      </c>
      <c r="F22" s="323">
        <f>'Skola, STR &amp; Spcfr'!E22+'Skola, STR &amp; Spcfr'!F22</f>
        <v>731321.46000000008</v>
      </c>
      <c r="G22" s="323">
        <f>Specialfritids!D25</f>
        <v>85853.35</v>
      </c>
      <c r="H22" s="323">
        <f>Sociala!B21</f>
        <v>2317623.41</v>
      </c>
      <c r="I22" s="323">
        <f>Sociala!C21</f>
        <v>1701653.73</v>
      </c>
      <c r="J22" s="323">
        <f>'Kultur&amp;Medis'!B21</f>
        <v>212864.05</v>
      </c>
      <c r="K22" s="323"/>
      <c r="L22" s="887">
        <f t="shared" si="0"/>
        <v>8169383.0433400003</v>
      </c>
      <c r="M22" s="882">
        <f t="shared" si="1"/>
        <v>694.85268719401211</v>
      </c>
      <c r="N22" s="882"/>
      <c r="O22" s="884">
        <f t="shared" si="3"/>
        <v>6467729.3133400008</v>
      </c>
      <c r="P22" s="882">
        <f>O22/R22</f>
        <v>550.11731847750286</v>
      </c>
      <c r="R22" s="418">
        <v>11757</v>
      </c>
      <c r="S22" s="313">
        <v>1231</v>
      </c>
      <c r="W22" s="884">
        <v>5667043</v>
      </c>
      <c r="X22" s="784">
        <f t="shared" si="5"/>
        <v>6467729.3133400008</v>
      </c>
      <c r="Y22" s="559">
        <f t="shared" si="2"/>
        <v>800686.31334000081</v>
      </c>
      <c r="Z22" s="6" t="s">
        <v>108</v>
      </c>
    </row>
    <row r="23" spans="1:26" ht="21">
      <c r="A23" s="6"/>
      <c r="B23" s="323"/>
      <c r="C23" s="323"/>
      <c r="D23" s="323"/>
      <c r="E23" s="323"/>
      <c r="F23" s="323"/>
      <c r="G23" s="323"/>
      <c r="H23" s="323"/>
      <c r="I23" s="323"/>
      <c r="J23" s="323"/>
      <c r="K23" s="323"/>
      <c r="L23" s="887"/>
      <c r="M23" s="882"/>
      <c r="N23" s="882"/>
      <c r="O23" s="884"/>
      <c r="P23" s="882"/>
      <c r="R23" s="357"/>
      <c r="S23" s="98"/>
      <c r="W23" s="884"/>
      <c r="X23" s="884"/>
      <c r="Y23" s="559"/>
      <c r="Z23" s="6"/>
    </row>
    <row r="24" spans="1:26" ht="21">
      <c r="A24" s="84"/>
      <c r="B24" s="323"/>
      <c r="C24" s="323"/>
      <c r="D24" s="323"/>
      <c r="E24" s="323"/>
      <c r="F24" s="323"/>
      <c r="G24" s="323"/>
      <c r="H24" s="323"/>
      <c r="I24" s="323"/>
      <c r="J24" s="323"/>
      <c r="K24" s="323"/>
      <c r="L24" s="887"/>
      <c r="M24" s="882"/>
      <c r="N24" s="882"/>
      <c r="O24" s="884"/>
      <c r="P24" s="882"/>
      <c r="R24" s="357"/>
      <c r="S24" s="354"/>
      <c r="W24" s="884"/>
      <c r="X24" s="884"/>
      <c r="Y24" s="559"/>
    </row>
    <row r="25" spans="1:26" ht="21">
      <c r="A25" s="84"/>
      <c r="B25" s="387"/>
      <c r="C25" s="387"/>
      <c r="D25" s="387"/>
      <c r="E25" s="387"/>
      <c r="F25" s="387"/>
      <c r="G25" s="387"/>
      <c r="H25" s="387"/>
      <c r="I25" s="388"/>
      <c r="J25" s="387"/>
      <c r="K25" s="387"/>
      <c r="L25" s="389"/>
      <c r="M25" s="297"/>
      <c r="N25" s="888"/>
      <c r="O25" s="297"/>
      <c r="P25" s="388"/>
      <c r="R25" s="357"/>
      <c r="S25" s="355"/>
      <c r="W25" s="297"/>
      <c r="X25" s="790"/>
      <c r="Y25" s="560"/>
    </row>
    <row r="26" spans="1:26" ht="21.75" thickBot="1">
      <c r="A26" s="9" t="s">
        <v>109</v>
      </c>
      <c r="B26" s="324">
        <f t="shared" ref="B26:C26" si="6">SUM(B7:B22)</f>
        <v>17927767.649999999</v>
      </c>
      <c r="C26" s="324">
        <f t="shared" si="6"/>
        <v>6464202.9399999995</v>
      </c>
      <c r="D26" s="324">
        <f>SUM(D7:D22)</f>
        <v>5126119.0079399999</v>
      </c>
      <c r="E26" s="324">
        <f>SUM(E7:E22)</f>
        <v>1603437.4299999997</v>
      </c>
      <c r="F26" s="324">
        <f>SUM(F7:F22)</f>
        <v>1139200.9500000002</v>
      </c>
      <c r="G26" s="324">
        <f t="shared" ref="G26:J26" si="7">SUM(G7:G22)</f>
        <v>480778.76</v>
      </c>
      <c r="H26" s="324">
        <f t="shared" si="7"/>
        <v>6117069.870000001</v>
      </c>
      <c r="I26" s="324">
        <f t="shared" si="7"/>
        <v>4399780.4400000004</v>
      </c>
      <c r="J26" s="324">
        <f t="shared" si="7"/>
        <v>550379.39</v>
      </c>
      <c r="K26" s="324"/>
      <c r="L26" s="390">
        <f>SUM(L7:L25)</f>
        <v>43808736.437939994</v>
      </c>
      <c r="M26" s="882">
        <f>L26/R26</f>
        <v>1443.0230388991731</v>
      </c>
      <c r="N26" s="14"/>
      <c r="O26" s="14">
        <f>SUM(O7:O22)</f>
        <v>39408955.997939989</v>
      </c>
      <c r="P26" s="882"/>
      <c r="R26" s="357">
        <f>SUM(R7:R22)</f>
        <v>30359</v>
      </c>
      <c r="S26" s="98">
        <f>SUM(S7:S22)</f>
        <v>3529</v>
      </c>
      <c r="U26" s="2"/>
      <c r="V26" s="2"/>
      <c r="W26" s="14">
        <f>SUM(W7:W22)</f>
        <v>36852164</v>
      </c>
      <c r="X26" s="14">
        <f>SUM(X7:X22)</f>
        <v>39408955.997939989</v>
      </c>
      <c r="Y26" s="556">
        <f>O26-W26</f>
        <v>2556791.997939989</v>
      </c>
    </row>
    <row r="27" spans="1:26" ht="15.75">
      <c r="B27" s="520">
        <f>'Skattekompl data'!G140</f>
        <v>17927767.649999999</v>
      </c>
      <c r="C27" s="520">
        <f>'Skola data'!D133</f>
        <v>6464202.9399999995</v>
      </c>
      <c r="D27" s="520">
        <f>Barnomsorg!B22</f>
        <v>5126119.0079399999</v>
      </c>
      <c r="E27" s="521">
        <f>STR!D26</f>
        <v>1603437.4299999997</v>
      </c>
      <c r="F27" s="520">
        <f>'Skola, STR &amp; Spcfr'!E23+'Skola, STR &amp; Spcfr'!F23</f>
        <v>1139200.9500000002</v>
      </c>
      <c r="G27" s="520">
        <f>'Skola, STR &amp; Spcfr'!D23</f>
        <v>480778.76</v>
      </c>
      <c r="H27" s="520">
        <f>Sociala!B22</f>
        <v>6117069.870000001</v>
      </c>
      <c r="I27" s="520">
        <f>Sociala!C22</f>
        <v>4399780.4400000004</v>
      </c>
      <c r="J27" s="520">
        <f>'Kultur data'!D30</f>
        <v>550379.39</v>
      </c>
      <c r="K27" s="2"/>
      <c r="L27" s="390">
        <f>SUM(B26:K26)</f>
        <v>43808736.437940001</v>
      </c>
      <c r="M27" s="2"/>
      <c r="N27" s="2"/>
      <c r="O27" s="2"/>
      <c r="P27" s="2"/>
      <c r="R27" s="14"/>
    </row>
    <row r="28" spans="1:26">
      <c r="C28" s="353"/>
      <c r="E28" s="391"/>
      <c r="F28" s="391"/>
      <c r="G28" s="391"/>
      <c r="O28" s="479">
        <f>L26-O26</f>
        <v>4399780.4400000051</v>
      </c>
      <c r="Y28" s="477"/>
    </row>
    <row r="29" spans="1:26">
      <c r="C29" s="353"/>
      <c r="D29" s="353"/>
      <c r="H29" s="353"/>
    </row>
    <row r="30" spans="1:26" ht="24" thickBot="1">
      <c r="A30" s="553" t="s">
        <v>128</v>
      </c>
      <c r="B30" s="2">
        <f>B50</f>
        <v>1007620.9599999972</v>
      </c>
      <c r="C30" s="2">
        <f t="shared" ref="C30:O30" si="8">C50</f>
        <v>176710.4299999997</v>
      </c>
      <c r="D30" s="2">
        <f t="shared" si="8"/>
        <v>278944.44794000033</v>
      </c>
      <c r="E30" s="2">
        <f t="shared" si="8"/>
        <v>353531.30999999959</v>
      </c>
      <c r="F30" s="2">
        <f t="shared" si="8"/>
        <v>-163787.68999999971</v>
      </c>
      <c r="G30" s="2">
        <f t="shared" si="8"/>
        <v>235053.78</v>
      </c>
      <c r="H30" s="2">
        <f t="shared" si="8"/>
        <v>638268.1400000006</v>
      </c>
      <c r="I30" s="2">
        <f>I50</f>
        <v>119529.38000000082</v>
      </c>
      <c r="J30" s="2">
        <f t="shared" si="8"/>
        <v>30451.140000000014</v>
      </c>
      <c r="K30" s="2"/>
      <c r="L30" s="482">
        <f>L50</f>
        <v>2676321.8979399875</v>
      </c>
      <c r="M30" s="882"/>
      <c r="N30" s="2">
        <f t="shared" si="8"/>
        <v>0</v>
      </c>
      <c r="O30" s="2">
        <f t="shared" si="8"/>
        <v>2556792.5229399875</v>
      </c>
    </row>
    <row r="31" spans="1:26" ht="21.75" customHeight="1" thickTop="1" thickBot="1">
      <c r="A31" s="553"/>
      <c r="C31" s="478"/>
      <c r="D31" s="478"/>
      <c r="E31" s="478"/>
      <c r="F31" s="522"/>
      <c r="K31" s="481"/>
      <c r="Y31" s="2"/>
    </row>
    <row r="32" spans="1:26" ht="17.25" thickTop="1" thickBot="1">
      <c r="A32" s="553"/>
      <c r="B32" s="504">
        <f>B30/B26</f>
        <v>5.6204485671142508E-2</v>
      </c>
      <c r="C32" s="504">
        <f t="shared" ref="C32:J32" si="9">C30/C26</f>
        <v>2.733677015406322E-2</v>
      </c>
      <c r="D32" s="504">
        <f t="shared" si="9"/>
        <v>5.4416303544247584E-2</v>
      </c>
      <c r="E32" s="504">
        <f t="shared" si="9"/>
        <v>0.22048338362663747</v>
      </c>
      <c r="F32" s="504">
        <f t="shared" si="9"/>
        <v>-0.14377418663493888</v>
      </c>
      <c r="G32" s="504">
        <f t="shared" si="9"/>
        <v>0.48890217196782987</v>
      </c>
      <c r="H32" s="564">
        <f t="shared" si="9"/>
        <v>0.10434213660534836</v>
      </c>
      <c r="I32" s="504">
        <f t="shared" si="9"/>
        <v>2.7167123821297049E-2</v>
      </c>
      <c r="J32" s="504">
        <f t="shared" si="9"/>
        <v>5.5327544150953784E-2</v>
      </c>
      <c r="O32" s="516"/>
      <c r="R32" s="516"/>
      <c r="S32" s="55"/>
      <c r="T32" s="516"/>
    </row>
    <row r="33" spans="1:20" ht="16.5" thickTop="1">
      <c r="C33" s="373"/>
      <c r="D33" s="55"/>
      <c r="E33" s="55"/>
      <c r="F33" s="55"/>
      <c r="H33" s="353"/>
      <c r="O33" s="882"/>
      <c r="R33" s="882"/>
      <c r="T33" s="882"/>
    </row>
    <row r="34" spans="1:20" ht="15.75">
      <c r="C34" s="55"/>
      <c r="D34" s="55"/>
      <c r="E34" s="55"/>
      <c r="F34" s="55"/>
      <c r="O34" s="882"/>
      <c r="R34" s="882"/>
      <c r="T34" s="882"/>
    </row>
    <row r="35" spans="1:20" ht="15.75">
      <c r="D35" s="353"/>
      <c r="H35" s="353"/>
      <c r="O35" s="882"/>
      <c r="R35" s="882"/>
      <c r="T35" s="882"/>
    </row>
    <row r="36" spans="1:20" ht="15.75">
      <c r="D36" s="353"/>
      <c r="F36" s="353"/>
      <c r="O36" s="882"/>
      <c r="R36" s="882"/>
      <c r="T36" s="882"/>
    </row>
    <row r="37" spans="1:20" ht="15.75">
      <c r="D37" s="353"/>
      <c r="F37" s="353"/>
      <c r="O37" s="882"/>
      <c r="R37" s="882"/>
      <c r="T37" s="882"/>
    </row>
    <row r="38" spans="1:20" ht="15.75">
      <c r="D38" s="353"/>
      <c r="F38" s="353"/>
      <c r="O38" s="882"/>
      <c r="R38" s="882"/>
      <c r="T38" s="882"/>
    </row>
    <row r="39" spans="1:20" ht="15.75">
      <c r="D39" s="353"/>
      <c r="F39" s="353"/>
      <c r="O39" s="882"/>
      <c r="R39" s="882"/>
      <c r="T39" s="882"/>
    </row>
    <row r="40" spans="1:20" ht="15.75">
      <c r="C40" s="13"/>
      <c r="D40" s="353"/>
      <c r="F40" s="353"/>
      <c r="O40" s="882"/>
      <c r="R40" s="882"/>
      <c r="T40" s="882"/>
    </row>
    <row r="41" spans="1:20" ht="15.75">
      <c r="C41" s="13"/>
      <c r="D41" s="353"/>
      <c r="F41" s="353"/>
      <c r="H41" s="2">
        <f>C46+D46+E46+F46+G46</f>
        <v>13933286.810000002</v>
      </c>
      <c r="O41" s="517"/>
      <c r="R41" s="517"/>
      <c r="T41" s="517"/>
    </row>
    <row r="42" spans="1:20" ht="15.75">
      <c r="C42" s="13"/>
      <c r="D42" s="353"/>
      <c r="O42" s="14"/>
      <c r="R42" s="14"/>
      <c r="T42" s="14"/>
    </row>
    <row r="43" spans="1:20" ht="15.75">
      <c r="C43" s="13"/>
      <c r="D43" s="353"/>
      <c r="H43" s="2">
        <f>H46+I46</f>
        <v>9759052.7899999991</v>
      </c>
    </row>
    <row r="44" spans="1:20" ht="15.75">
      <c r="A44">
        <v>2024</v>
      </c>
      <c r="C44" s="13"/>
      <c r="D44" s="353"/>
    </row>
    <row r="45" spans="1:20" ht="15.75">
      <c r="C45" s="13"/>
      <c r="D45" s="353"/>
    </row>
    <row r="46" spans="1:20" ht="15.75">
      <c r="A46" s="9" t="s">
        <v>109</v>
      </c>
      <c r="B46" s="324">
        <v>16920146.690000001</v>
      </c>
      <c r="C46" s="324">
        <v>6287492.5099999998</v>
      </c>
      <c r="D46" s="324">
        <v>4847174.5599999996</v>
      </c>
      <c r="E46" s="324">
        <v>1249906.1200000001</v>
      </c>
      <c r="F46" s="324">
        <v>1302988.6399999999</v>
      </c>
      <c r="G46" s="324">
        <v>245724.98</v>
      </c>
      <c r="H46" s="324">
        <v>5478801.7300000004</v>
      </c>
      <c r="I46" s="324">
        <v>4280251.0599999996</v>
      </c>
      <c r="J46" s="324">
        <v>519928.25</v>
      </c>
      <c r="K46" s="324"/>
      <c r="L46" s="390">
        <f>SUM(B46:J46)</f>
        <v>41132414.540000007</v>
      </c>
      <c r="M46" s="882">
        <v>1354.87</v>
      </c>
      <c r="N46" s="14"/>
      <c r="O46" s="14">
        <v>36852163.475000001</v>
      </c>
      <c r="P46" s="882"/>
    </row>
    <row r="47" spans="1:20" ht="15.75">
      <c r="B47" s="2"/>
      <c r="C47" s="2"/>
      <c r="D47" s="2"/>
      <c r="E47" s="391"/>
      <c r="F47" s="391"/>
      <c r="G47" s="391"/>
      <c r="H47" s="2"/>
      <c r="I47" s="2"/>
      <c r="J47" s="2"/>
      <c r="K47" s="2"/>
      <c r="L47" s="390"/>
      <c r="M47" s="2"/>
      <c r="N47" s="2"/>
      <c r="O47" s="2"/>
      <c r="P47" s="2"/>
    </row>
    <row r="48" spans="1:20" ht="15.75">
      <c r="C48" s="13"/>
    </row>
    <row r="49" spans="1:19" ht="15.75">
      <c r="C49" s="13"/>
    </row>
    <row r="50" spans="1:19">
      <c r="A50" t="s">
        <v>129</v>
      </c>
      <c r="B50" s="2">
        <f t="shared" ref="B50:O50" si="10">B26-B46</f>
        <v>1007620.9599999972</v>
      </c>
      <c r="C50" s="2">
        <f t="shared" si="10"/>
        <v>176710.4299999997</v>
      </c>
      <c r="D50" s="2">
        <f t="shared" si="10"/>
        <v>278944.44794000033</v>
      </c>
      <c r="E50" s="2">
        <f t="shared" si="10"/>
        <v>353531.30999999959</v>
      </c>
      <c r="F50" s="2">
        <f t="shared" si="10"/>
        <v>-163787.68999999971</v>
      </c>
      <c r="G50" s="2">
        <f t="shared" si="10"/>
        <v>235053.78</v>
      </c>
      <c r="H50" s="2">
        <f t="shared" si="10"/>
        <v>638268.1400000006</v>
      </c>
      <c r="I50" s="2">
        <f t="shared" si="10"/>
        <v>119529.38000000082</v>
      </c>
      <c r="J50" s="2">
        <f t="shared" si="10"/>
        <v>30451.140000000014</v>
      </c>
      <c r="K50" s="2">
        <f t="shared" si="10"/>
        <v>0</v>
      </c>
      <c r="L50" s="2">
        <f t="shared" si="10"/>
        <v>2676321.8979399875</v>
      </c>
      <c r="M50" s="2">
        <f t="shared" si="10"/>
        <v>88.153038899173225</v>
      </c>
      <c r="N50" s="2">
        <f t="shared" si="10"/>
        <v>0</v>
      </c>
      <c r="O50" s="2">
        <f t="shared" si="10"/>
        <v>2556792.5229399875</v>
      </c>
    </row>
    <row r="51" spans="1:19" ht="15.75">
      <c r="C51" s="13"/>
    </row>
    <row r="52" spans="1:19" ht="15.75">
      <c r="C52" s="13"/>
    </row>
    <row r="60" spans="1:19" ht="15.75">
      <c r="A60" s="82">
        <v>2024</v>
      </c>
    </row>
    <row r="61" spans="1:19" ht="15.75">
      <c r="A61" s="83"/>
      <c r="F61" s="1128"/>
    </row>
    <row r="62" spans="1:19">
      <c r="B62" s="369"/>
      <c r="F62" s="1128"/>
    </row>
    <row r="63" spans="1:19" ht="43.5">
      <c r="A63" s="878"/>
      <c r="B63" s="516"/>
      <c r="C63" s="516"/>
      <c r="D63" s="516"/>
      <c r="E63" s="516"/>
      <c r="F63" s="516"/>
      <c r="G63" s="516"/>
      <c r="H63" s="516"/>
      <c r="I63" s="516"/>
      <c r="J63" s="516"/>
      <c r="K63" s="516"/>
      <c r="L63" s="516"/>
      <c r="M63" s="516"/>
      <c r="N63" s="516"/>
      <c r="O63" s="516"/>
      <c r="P63" s="516"/>
      <c r="Q63" s="55"/>
      <c r="R63" s="419" t="s">
        <v>130</v>
      </c>
      <c r="S63" s="356" t="s">
        <v>127</v>
      </c>
    </row>
    <row r="64" spans="1:19" ht="15.75">
      <c r="A64" s="785"/>
      <c r="B64" s="323"/>
      <c r="C64" s="323"/>
      <c r="D64" s="323"/>
      <c r="E64" s="323"/>
      <c r="F64" s="323"/>
      <c r="G64" s="323"/>
      <c r="H64" s="323"/>
      <c r="I64" s="323"/>
      <c r="J64" s="323"/>
      <c r="K64" s="323"/>
      <c r="L64" s="882"/>
      <c r="M64" s="882"/>
      <c r="N64" s="882"/>
      <c r="O64" s="882"/>
      <c r="P64" s="882"/>
      <c r="R64" s="418">
        <v>449</v>
      </c>
      <c r="S64" s="312">
        <v>31</v>
      </c>
    </row>
    <row r="65" spans="1:19" ht="15.75">
      <c r="A65" s="785"/>
      <c r="B65" s="323"/>
      <c r="C65" s="323"/>
      <c r="D65" s="323"/>
      <c r="E65" s="323"/>
      <c r="F65" s="323"/>
      <c r="G65" s="323"/>
      <c r="H65" s="323"/>
      <c r="I65" s="323"/>
      <c r="J65" s="323"/>
      <c r="K65" s="323"/>
      <c r="L65" s="882"/>
      <c r="M65" s="882"/>
      <c r="N65" s="882"/>
      <c r="O65" s="882"/>
      <c r="P65" s="882"/>
      <c r="R65" s="418">
        <v>933</v>
      </c>
      <c r="S65" s="312">
        <v>93</v>
      </c>
    </row>
    <row r="66" spans="1:19" ht="15.75">
      <c r="A66" s="785"/>
      <c r="B66" s="323"/>
      <c r="C66" s="323"/>
      <c r="D66" s="323"/>
      <c r="E66" s="323"/>
      <c r="F66" s="323"/>
      <c r="G66" s="323"/>
      <c r="H66" s="323"/>
      <c r="I66" s="323"/>
      <c r="J66" s="323"/>
      <c r="K66" s="323"/>
      <c r="L66" s="882"/>
      <c r="M66" s="882"/>
      <c r="N66" s="882"/>
      <c r="O66" s="882"/>
      <c r="P66" s="882"/>
      <c r="R66" s="418">
        <v>2638</v>
      </c>
      <c r="S66" s="312">
        <v>339</v>
      </c>
    </row>
    <row r="67" spans="1:19" ht="15.75">
      <c r="A67" s="785"/>
      <c r="B67" s="323"/>
      <c r="C67" s="323"/>
      <c r="D67" s="323"/>
      <c r="E67" s="323"/>
      <c r="F67" s="323"/>
      <c r="G67" s="323"/>
      <c r="H67" s="323"/>
      <c r="I67" s="323"/>
      <c r="J67" s="323"/>
      <c r="K67" s="323"/>
      <c r="L67" s="882"/>
      <c r="M67" s="882"/>
      <c r="N67" s="882"/>
      <c r="O67" s="882"/>
      <c r="P67" s="882"/>
      <c r="R67" s="418">
        <v>501</v>
      </c>
      <c r="S67" s="312">
        <v>39</v>
      </c>
    </row>
    <row r="68" spans="1:19" ht="15.75">
      <c r="A68" s="785"/>
      <c r="B68" s="323"/>
      <c r="C68" s="323"/>
      <c r="D68" s="323"/>
      <c r="E68" s="323"/>
      <c r="F68" s="323"/>
      <c r="G68" s="323"/>
      <c r="H68" s="323"/>
      <c r="I68" s="323"/>
      <c r="J68" s="323"/>
      <c r="K68" s="323"/>
      <c r="L68" s="882"/>
      <c r="M68" s="882"/>
      <c r="N68" s="882"/>
      <c r="O68" s="882"/>
      <c r="P68" s="882"/>
      <c r="R68" s="418">
        <v>505</v>
      </c>
      <c r="S68" s="312">
        <v>62</v>
      </c>
    </row>
    <row r="69" spans="1:19" ht="15.75">
      <c r="A69" s="785"/>
      <c r="B69" s="323"/>
      <c r="C69" s="323"/>
      <c r="D69" s="323"/>
      <c r="E69" s="323"/>
      <c r="F69" s="323"/>
      <c r="G69" s="323"/>
      <c r="H69" s="323"/>
      <c r="I69" s="323"/>
      <c r="J69" s="323"/>
      <c r="K69" s="323"/>
      <c r="L69" s="882"/>
      <c r="M69" s="882"/>
      <c r="N69" s="882"/>
      <c r="O69" s="882"/>
      <c r="P69" s="882"/>
      <c r="R69" s="418">
        <v>1619</v>
      </c>
      <c r="S69" s="312">
        <v>200</v>
      </c>
    </row>
    <row r="70" spans="1:19" ht="15.75">
      <c r="A70" s="785"/>
      <c r="B70" s="323"/>
      <c r="C70" s="323"/>
      <c r="D70" s="323"/>
      <c r="E70" s="323"/>
      <c r="F70" s="323"/>
      <c r="G70" s="323"/>
      <c r="H70" s="323"/>
      <c r="I70" s="323"/>
      <c r="J70" s="323"/>
      <c r="K70" s="323"/>
      <c r="L70" s="882"/>
      <c r="M70" s="882"/>
      <c r="N70" s="882"/>
      <c r="O70" s="882"/>
      <c r="P70" s="882"/>
      <c r="R70" s="418">
        <v>5512</v>
      </c>
      <c r="S70" s="312">
        <v>768</v>
      </c>
    </row>
    <row r="71" spans="1:19" ht="15.75">
      <c r="A71" s="785"/>
      <c r="B71" s="323"/>
      <c r="C71" s="323"/>
      <c r="D71" s="323"/>
      <c r="E71" s="323"/>
      <c r="F71" s="323"/>
      <c r="G71" s="323"/>
      <c r="H71" s="323"/>
      <c r="I71" s="323"/>
      <c r="J71" s="323"/>
      <c r="K71" s="323"/>
      <c r="L71" s="882"/>
      <c r="M71" s="882"/>
      <c r="N71" s="882"/>
      <c r="O71" s="882"/>
      <c r="P71" s="882"/>
      <c r="R71" s="418">
        <v>313</v>
      </c>
      <c r="S71" s="312">
        <v>19</v>
      </c>
    </row>
    <row r="72" spans="1:19" ht="15.75">
      <c r="A72" s="785"/>
      <c r="B72" s="323"/>
      <c r="C72" s="323"/>
      <c r="D72" s="323"/>
      <c r="E72" s="323"/>
      <c r="F72" s="323"/>
      <c r="G72" s="323"/>
      <c r="H72" s="323"/>
      <c r="I72" s="323"/>
      <c r="J72" s="323"/>
      <c r="K72" s="323"/>
      <c r="L72" s="882"/>
      <c r="M72" s="882"/>
      <c r="N72" s="882"/>
      <c r="O72" s="882"/>
      <c r="P72" s="882"/>
      <c r="R72" s="418">
        <v>224</v>
      </c>
      <c r="S72" s="312">
        <v>6</v>
      </c>
    </row>
    <row r="73" spans="1:19" ht="15.75">
      <c r="A73" s="785"/>
      <c r="B73" s="323"/>
      <c r="C73" s="323"/>
      <c r="D73" s="323"/>
      <c r="E73" s="323"/>
      <c r="F73" s="323"/>
      <c r="G73" s="323"/>
      <c r="H73" s="323"/>
      <c r="I73" s="323"/>
      <c r="J73" s="323"/>
      <c r="K73" s="323"/>
      <c r="L73" s="882"/>
      <c r="M73" s="882"/>
      <c r="N73" s="882"/>
      <c r="O73" s="882"/>
      <c r="P73" s="882"/>
      <c r="R73" s="418">
        <v>2135</v>
      </c>
      <c r="S73" s="312">
        <v>298</v>
      </c>
    </row>
    <row r="74" spans="1:19" ht="15.75">
      <c r="A74" s="785"/>
      <c r="B74" s="323"/>
      <c r="C74" s="323"/>
      <c r="D74" s="323"/>
      <c r="E74" s="323"/>
      <c r="F74" s="323"/>
      <c r="G74" s="323"/>
      <c r="H74" s="323"/>
      <c r="I74" s="323"/>
      <c r="J74" s="323"/>
      <c r="K74" s="323"/>
      <c r="L74" s="882"/>
      <c r="M74" s="882"/>
      <c r="N74" s="882"/>
      <c r="O74" s="882"/>
      <c r="P74" s="882"/>
      <c r="R74" s="418">
        <v>376</v>
      </c>
      <c r="S74" s="312">
        <v>44</v>
      </c>
    </row>
    <row r="75" spans="1:19" ht="15.75">
      <c r="A75" s="785"/>
      <c r="B75" s="323"/>
      <c r="C75" s="323"/>
      <c r="D75" s="323"/>
      <c r="E75" s="323"/>
      <c r="F75" s="323"/>
      <c r="G75" s="323"/>
      <c r="H75" s="323"/>
      <c r="I75" s="323"/>
      <c r="J75" s="323"/>
      <c r="K75" s="323"/>
      <c r="L75" s="882"/>
      <c r="M75" s="882"/>
      <c r="N75" s="882"/>
      <c r="O75" s="882"/>
      <c r="P75" s="882"/>
      <c r="R75" s="418">
        <v>1810</v>
      </c>
      <c r="S75" s="312">
        <v>224</v>
      </c>
    </row>
    <row r="76" spans="1:19" ht="15.75">
      <c r="A76" s="785"/>
      <c r="B76" s="323"/>
      <c r="C76" s="323"/>
      <c r="D76" s="323"/>
      <c r="E76" s="323"/>
      <c r="F76" s="323"/>
      <c r="G76" s="323"/>
      <c r="H76" s="323"/>
      <c r="I76" s="323"/>
      <c r="J76" s="323"/>
      <c r="K76" s="323"/>
      <c r="L76" s="882"/>
      <c r="M76" s="882"/>
      <c r="N76" s="882"/>
      <c r="O76" s="882"/>
      <c r="P76" s="882"/>
      <c r="R76" s="418">
        <v>105</v>
      </c>
      <c r="S76" s="312">
        <v>10</v>
      </c>
    </row>
    <row r="77" spans="1:19" ht="15.75">
      <c r="A77" s="785"/>
      <c r="B77" s="323"/>
      <c r="C77" s="323"/>
      <c r="D77" s="323"/>
      <c r="E77" s="323"/>
      <c r="F77" s="323"/>
      <c r="G77" s="323"/>
      <c r="H77" s="323"/>
      <c r="I77" s="323"/>
      <c r="J77" s="323"/>
      <c r="K77" s="323"/>
      <c r="L77" s="882"/>
      <c r="M77" s="882"/>
      <c r="N77" s="882"/>
      <c r="O77" s="882"/>
      <c r="P77" s="882"/>
      <c r="R77" s="418">
        <v>1019</v>
      </c>
      <c r="S77" s="312">
        <v>117</v>
      </c>
    </row>
    <row r="78" spans="1:19" ht="15.75">
      <c r="A78" s="785"/>
      <c r="B78" s="323"/>
      <c r="C78" s="323"/>
      <c r="D78" s="323"/>
      <c r="E78" s="323"/>
      <c r="F78" s="323"/>
      <c r="G78" s="323"/>
      <c r="H78" s="323"/>
      <c r="I78" s="323"/>
      <c r="J78" s="323"/>
      <c r="K78" s="323"/>
      <c r="L78" s="882"/>
      <c r="M78" s="882"/>
      <c r="N78" s="882"/>
      <c r="O78" s="882"/>
      <c r="P78" s="882"/>
      <c r="R78" s="418">
        <v>463</v>
      </c>
      <c r="S78" s="312">
        <v>47</v>
      </c>
    </row>
    <row r="79" spans="1:19" ht="15.75">
      <c r="A79" s="785"/>
      <c r="B79" s="323"/>
      <c r="C79" s="323"/>
      <c r="D79" s="323"/>
      <c r="E79" s="323"/>
      <c r="F79" s="323"/>
      <c r="G79" s="323"/>
      <c r="H79" s="323"/>
      <c r="I79" s="323"/>
      <c r="J79" s="323"/>
      <c r="K79" s="323"/>
      <c r="L79" s="882"/>
      <c r="M79" s="882"/>
      <c r="N79" s="882"/>
      <c r="O79" s="882"/>
      <c r="P79" s="882"/>
      <c r="R79" s="418">
        <v>11742</v>
      </c>
      <c r="S79" s="313">
        <v>1225</v>
      </c>
    </row>
    <row r="80" spans="1:19" ht="15.75">
      <c r="A80" s="785"/>
      <c r="B80" s="323"/>
      <c r="C80" s="323"/>
      <c r="D80" s="323"/>
      <c r="E80" s="323"/>
      <c r="F80" s="323"/>
      <c r="G80" s="323"/>
      <c r="H80" s="323"/>
      <c r="I80" s="323"/>
      <c r="J80" s="323"/>
      <c r="K80" s="323"/>
      <c r="L80" s="882"/>
      <c r="M80" s="882"/>
      <c r="N80" s="882"/>
      <c r="O80" s="882"/>
      <c r="P80" s="882"/>
      <c r="R80" s="357"/>
      <c r="S80" s="98"/>
    </row>
    <row r="81" spans="1:19" ht="15.75">
      <c r="A81" s="786"/>
      <c r="B81" s="323"/>
      <c r="C81" s="323"/>
      <c r="D81" s="323"/>
      <c r="E81" s="323"/>
      <c r="F81" s="323"/>
      <c r="G81" s="323"/>
      <c r="H81" s="323"/>
      <c r="I81" s="323"/>
      <c r="J81" s="323"/>
      <c r="K81" s="323"/>
      <c r="L81" s="882"/>
      <c r="M81" s="882"/>
      <c r="N81" s="882"/>
      <c r="O81" s="882"/>
      <c r="P81" s="882"/>
      <c r="R81" s="357"/>
      <c r="S81" s="354"/>
    </row>
    <row r="82" spans="1:19" ht="15.75">
      <c r="A82" s="786"/>
      <c r="B82" s="323"/>
      <c r="C82" s="323"/>
      <c r="D82" s="323"/>
      <c r="E82" s="323"/>
      <c r="F82" s="323"/>
      <c r="G82" s="323"/>
      <c r="H82" s="323"/>
      <c r="I82" s="2"/>
      <c r="J82" s="323"/>
      <c r="K82" s="323"/>
      <c r="L82" s="517"/>
      <c r="M82" s="517"/>
      <c r="N82" s="882"/>
      <c r="O82" s="517"/>
      <c r="P82" s="2"/>
      <c r="R82" s="357"/>
      <c r="S82" s="355"/>
    </row>
    <row r="83" spans="1:19" ht="15.75">
      <c r="A83" s="785"/>
      <c r="B83" s="324"/>
      <c r="C83" s="324"/>
      <c r="D83" s="324"/>
      <c r="E83" s="324"/>
      <c r="F83" s="324"/>
      <c r="G83" s="324"/>
      <c r="H83" s="324"/>
      <c r="I83" s="324"/>
      <c r="J83" s="324"/>
      <c r="K83" s="324"/>
      <c r="L83" s="14"/>
      <c r="M83" s="882"/>
      <c r="N83" s="14"/>
      <c r="O83" s="14"/>
      <c r="P83" s="882"/>
      <c r="R83" s="357">
        <v>30344</v>
      </c>
      <c r="S83" s="98">
        <v>3522</v>
      </c>
    </row>
    <row r="84" spans="1:19" ht="15.75">
      <c r="B84" s="2"/>
      <c r="C84" s="2"/>
      <c r="D84" s="2"/>
      <c r="E84" s="391"/>
      <c r="F84" s="391"/>
      <c r="G84" s="391"/>
      <c r="H84" s="2"/>
      <c r="I84" s="2"/>
      <c r="J84" s="2"/>
      <c r="K84" s="2"/>
      <c r="L84" s="14"/>
      <c r="M84" s="2"/>
      <c r="N84" s="2"/>
      <c r="O84" s="2"/>
      <c r="P84" s="2"/>
      <c r="R84" s="14"/>
    </row>
    <row r="85" spans="1:19">
      <c r="C85" s="353"/>
      <c r="O85" s="479"/>
    </row>
    <row r="86" spans="1:19">
      <c r="C86" s="353"/>
      <c r="D86" s="353"/>
      <c r="H86" s="353"/>
    </row>
    <row r="87" spans="1:19" ht="23.25">
      <c r="A87" s="386"/>
      <c r="B87" s="787"/>
      <c r="C87" s="787"/>
      <c r="D87" s="787"/>
      <c r="E87" s="787"/>
      <c r="F87" s="787"/>
      <c r="G87" s="787"/>
      <c r="H87" s="787"/>
      <c r="I87" s="787"/>
      <c r="J87" s="787"/>
      <c r="K87" s="2"/>
      <c r="L87" s="788"/>
      <c r="M87" s="882"/>
      <c r="N87" s="2"/>
      <c r="O87" s="2"/>
    </row>
    <row r="88" spans="1:19">
      <c r="A88" s="478"/>
      <c r="C88" s="478"/>
      <c r="D88" s="478"/>
      <c r="E88" s="478"/>
      <c r="F88" s="481"/>
      <c r="K88" s="481"/>
      <c r="R88" t="s">
        <v>131</v>
      </c>
    </row>
    <row r="97" spans="2:11">
      <c r="B97" s="2"/>
      <c r="C97" s="2"/>
      <c r="D97" s="2"/>
      <c r="E97" s="2"/>
      <c r="F97" s="2"/>
      <c r="G97" s="2"/>
      <c r="H97" s="2"/>
      <c r="I97" s="2"/>
      <c r="J97" s="2"/>
      <c r="K97" s="2">
        <f>K13-K70</f>
        <v>0</v>
      </c>
    </row>
    <row r="102" spans="2:11" ht="15.75">
      <c r="C102" s="563"/>
      <c r="D102" s="563"/>
      <c r="E102" s="563"/>
      <c r="F102" s="563"/>
      <c r="G102" s="563"/>
      <c r="H102" s="563"/>
      <c r="I102" s="563"/>
      <c r="J102" s="563"/>
      <c r="K102" s="563"/>
    </row>
    <row r="103" spans="2:11" ht="15.75">
      <c r="C103" s="323"/>
      <c r="D103" s="323"/>
      <c r="E103" s="323"/>
      <c r="F103" s="323"/>
      <c r="G103" s="323"/>
      <c r="H103" s="323"/>
      <c r="I103" s="323"/>
      <c r="J103" s="323"/>
      <c r="K103" s="323"/>
    </row>
    <row r="104" spans="2:11" ht="15.75">
      <c r="C104" s="323"/>
      <c r="D104" s="323"/>
      <c r="E104" s="323"/>
      <c r="F104" s="323"/>
      <c r="G104" s="323"/>
      <c r="H104" s="323"/>
      <c r="I104" s="323"/>
      <c r="J104" s="323"/>
      <c r="K104" s="323"/>
    </row>
    <row r="105" spans="2:11" ht="15.75">
      <c r="C105" s="323"/>
      <c r="D105" s="323"/>
      <c r="E105" s="323"/>
      <c r="F105" s="323"/>
      <c r="G105" s="323"/>
      <c r="H105" s="323"/>
      <c r="I105" s="323"/>
      <c r="J105" s="323"/>
      <c r="K105" s="323"/>
    </row>
    <row r="106" spans="2:11" ht="15.75">
      <c r="C106" s="323"/>
      <c r="D106" s="323"/>
      <c r="E106" s="323"/>
      <c r="F106" s="323"/>
      <c r="G106" s="323"/>
      <c r="H106" s="323"/>
      <c r="I106" s="323"/>
      <c r="J106" s="323"/>
      <c r="K106" s="323"/>
    </row>
    <row r="107" spans="2:11" ht="15.75">
      <c r="C107" s="323"/>
      <c r="D107" s="323"/>
      <c r="E107" s="323"/>
      <c r="F107" s="323"/>
      <c r="G107" s="323"/>
      <c r="H107" s="323"/>
      <c r="I107" s="323"/>
      <c r="J107" s="323"/>
      <c r="K107" s="323"/>
    </row>
    <row r="108" spans="2:11" ht="15.75">
      <c r="C108" s="323"/>
      <c r="D108" s="323"/>
      <c r="E108" s="323"/>
      <c r="F108" s="323"/>
      <c r="G108" s="323"/>
      <c r="H108" s="323"/>
      <c r="I108" s="323"/>
      <c r="J108" s="323"/>
      <c r="K108" s="323"/>
    </row>
    <row r="109" spans="2:11" ht="15.75">
      <c r="C109" s="323"/>
      <c r="D109" s="323"/>
      <c r="E109" s="323"/>
      <c r="F109" s="323"/>
      <c r="G109" s="323"/>
      <c r="H109" s="323"/>
      <c r="I109" s="323"/>
      <c r="J109" s="323"/>
      <c r="K109" s="323"/>
    </row>
    <row r="110" spans="2:11" ht="15.75">
      <c r="C110" s="323"/>
      <c r="D110" s="323"/>
      <c r="E110" s="323"/>
      <c r="F110" s="323"/>
      <c r="G110" s="323"/>
      <c r="H110" s="323"/>
      <c r="I110" s="323"/>
      <c r="J110" s="323"/>
      <c r="K110" s="323"/>
    </row>
    <row r="111" spans="2:11" ht="15.75">
      <c r="C111" s="323"/>
      <c r="D111" s="323"/>
      <c r="E111" s="323"/>
      <c r="F111" s="323"/>
      <c r="G111" s="323"/>
      <c r="H111" s="323"/>
      <c r="I111" s="323"/>
      <c r="J111" s="323"/>
      <c r="K111" s="323"/>
    </row>
    <row r="112" spans="2:11" ht="15.75">
      <c r="C112" s="323"/>
      <c r="D112" s="323"/>
      <c r="E112" s="323"/>
      <c r="F112" s="323"/>
      <c r="G112" s="323"/>
      <c r="H112" s="323"/>
      <c r="I112" s="323"/>
      <c r="J112" s="323"/>
      <c r="K112" s="323"/>
    </row>
    <row r="113" spans="3:12" ht="15.75">
      <c r="C113" s="323"/>
      <c r="D113" s="323"/>
      <c r="E113" s="323"/>
      <c r="F113" s="323"/>
      <c r="G113" s="323"/>
      <c r="H113" s="323"/>
      <c r="I113" s="323"/>
      <c r="J113" s="323"/>
      <c r="K113" s="323"/>
    </row>
    <row r="114" spans="3:12" ht="15.75">
      <c r="C114" s="323"/>
      <c r="D114" s="323"/>
      <c r="E114" s="323"/>
      <c r="F114" s="323"/>
      <c r="G114" s="323"/>
      <c r="H114" s="323"/>
      <c r="I114" s="323"/>
      <c r="J114" s="323"/>
      <c r="K114" s="323"/>
    </row>
    <row r="115" spans="3:12" ht="15.75">
      <c r="C115" s="323"/>
      <c r="D115" s="323"/>
      <c r="E115" s="323"/>
      <c r="F115" s="323"/>
      <c r="G115" s="323"/>
      <c r="H115" s="323"/>
      <c r="I115" s="323"/>
      <c r="J115" s="323"/>
      <c r="K115" s="323"/>
    </row>
    <row r="116" spans="3:12" ht="15.75">
      <c r="C116" s="323"/>
      <c r="D116" s="323"/>
      <c r="E116" s="323"/>
      <c r="F116" s="323"/>
      <c r="G116" s="323"/>
      <c r="H116" s="323"/>
      <c r="I116" s="323"/>
      <c r="J116" s="323"/>
      <c r="K116" s="323"/>
    </row>
    <row r="117" spans="3:12" ht="15.75">
      <c r="C117" s="323"/>
      <c r="D117" s="323"/>
      <c r="E117" s="323"/>
      <c r="F117" s="323"/>
      <c r="G117" s="323"/>
      <c r="H117" s="323"/>
      <c r="I117" s="323"/>
      <c r="J117" s="323"/>
      <c r="K117" s="323"/>
    </row>
    <row r="118" spans="3:12" ht="15.75">
      <c r="C118" s="323"/>
      <c r="D118" s="323"/>
      <c r="E118" s="323"/>
      <c r="F118" s="323"/>
      <c r="G118" s="323"/>
      <c r="H118" s="323"/>
      <c r="I118" s="323"/>
      <c r="J118" s="323"/>
      <c r="K118" s="323"/>
    </row>
    <row r="119" spans="3:12" ht="15.75">
      <c r="C119" s="323"/>
      <c r="D119" s="323"/>
      <c r="E119" s="323"/>
      <c r="F119" s="323"/>
      <c r="G119" s="323"/>
      <c r="H119" s="323"/>
      <c r="I119" s="323"/>
      <c r="J119" s="323"/>
      <c r="K119" s="323"/>
    </row>
    <row r="120" spans="3:12" ht="15.75">
      <c r="C120" s="323"/>
      <c r="D120" s="323"/>
      <c r="E120" s="323"/>
      <c r="F120" s="323"/>
      <c r="G120" s="323"/>
      <c r="H120" s="323"/>
      <c r="I120" s="323"/>
      <c r="J120" s="323"/>
      <c r="K120" s="323"/>
    </row>
    <row r="121" spans="3:12" ht="15.75">
      <c r="C121" s="323"/>
      <c r="D121" s="323"/>
      <c r="E121" s="323"/>
      <c r="F121" s="323"/>
      <c r="G121" s="323"/>
      <c r="H121" s="323"/>
      <c r="I121" s="323"/>
      <c r="J121" s="2"/>
      <c r="K121" s="323"/>
    </row>
    <row r="122" spans="3:12" ht="15.75">
      <c r="C122" s="324"/>
      <c r="D122" s="324"/>
      <c r="E122" s="324"/>
      <c r="F122" s="324"/>
      <c r="G122" s="324"/>
      <c r="H122" s="324"/>
      <c r="I122" s="324"/>
      <c r="J122" s="324"/>
      <c r="K122" s="324"/>
    </row>
    <row r="125" spans="3:12">
      <c r="D125" s="2"/>
      <c r="E125" s="2"/>
      <c r="F125" s="2"/>
      <c r="G125" s="2"/>
      <c r="H125" s="2"/>
      <c r="I125" s="2"/>
      <c r="J125" s="2"/>
      <c r="K125" s="2"/>
    </row>
    <row r="126" spans="3:12">
      <c r="L126" s="2"/>
    </row>
  </sheetData>
  <mergeCells count="1">
    <mergeCell ref="F61:F62"/>
  </mergeCells>
  <conditionalFormatting sqref="B30:J30">
    <cfRule type="cellIs" dxfId="1" priority="5" operator="greaterThan">
      <formula>0</formula>
    </cfRule>
    <cfRule type="colorScale" priority="6">
      <colorScale>
        <cfvo type="min"/>
        <cfvo type="percentile" val="50"/>
        <cfvo type="max"/>
        <color rgb="FFF8696B"/>
        <color rgb="FFFCFCFF"/>
        <color rgb="FF63BE7B"/>
      </colorScale>
    </cfRule>
  </conditionalFormatting>
  <conditionalFormatting sqref="B30:J31">
    <cfRule type="colorScale" priority="10">
      <colorScale>
        <cfvo type="min"/>
        <cfvo type="percentile" val="50"/>
        <cfvo type="max"/>
        <color rgb="FFF8696B"/>
        <color rgb="FFFCFCFF"/>
        <color rgb="FF63BE7B"/>
      </colorScale>
    </cfRule>
  </conditionalFormatting>
  <conditionalFormatting sqref="B32:J32">
    <cfRule type="dataBar" priority="1">
      <dataBar>
        <cfvo type="min"/>
        <cfvo type="max"/>
        <color rgb="FF638EC6"/>
      </dataBar>
      <extLst>
        <ext xmlns:x14="http://schemas.microsoft.com/office/spreadsheetml/2009/9/main" uri="{B025F937-C7B1-47D3-B67F-A62EFF666E3E}">
          <x14:id>{56706D2F-BC8E-495B-B808-4FAE4B302498}</x14:id>
        </ext>
      </extLst>
    </cfRule>
    <cfRule type="cellIs" dxfId="0" priority="2" operator="greaterThan">
      <formula>0</formula>
    </cfRule>
  </conditionalFormatting>
  <conditionalFormatting sqref="Y7:Y26">
    <cfRule type="dataBar" priority="8">
      <dataBar>
        <cfvo type="min"/>
        <cfvo type="max"/>
        <color rgb="FF638EC6"/>
      </dataBar>
      <extLst>
        <ext xmlns:x14="http://schemas.microsoft.com/office/spreadsheetml/2009/9/main" uri="{B025F937-C7B1-47D3-B67F-A62EFF666E3E}">
          <x14:id>{A38E01C7-2E90-42D0-B53F-73127672E80A}</x14:id>
        </ext>
      </extLst>
    </cfRule>
  </conditionalFormatting>
  <pageMargins left="0.7" right="0.7" top="0.75" bottom="0.75" header="0.3" footer="0.3"/>
  <pageSetup paperSize="256" orientation="landscape" r:id="rId1"/>
  <drawing r:id="rId2"/>
  <extLst>
    <ext xmlns:x14="http://schemas.microsoft.com/office/spreadsheetml/2009/9/main" uri="{78C0D931-6437-407d-A8EE-F0AAD7539E65}">
      <x14:conditionalFormattings>
        <x14:conditionalFormatting xmlns:xm="http://schemas.microsoft.com/office/excel/2006/main">
          <x14:cfRule type="dataBar" id="{56706D2F-BC8E-495B-B808-4FAE4B302498}">
            <x14:dataBar minLength="0" maxLength="100" gradient="0">
              <x14:cfvo type="autoMin"/>
              <x14:cfvo type="autoMax"/>
              <x14:negativeFillColor rgb="FFFF0000"/>
              <x14:axisColor rgb="FF000000"/>
            </x14:dataBar>
          </x14:cfRule>
          <xm:sqref>B32:J32</xm:sqref>
        </x14:conditionalFormatting>
        <x14:conditionalFormatting xmlns:xm="http://schemas.microsoft.com/office/excel/2006/main">
          <x14:cfRule type="dataBar" id="{A38E01C7-2E90-42D0-B53F-73127672E80A}">
            <x14:dataBar minLength="0" maxLength="100" gradient="0">
              <x14:cfvo type="autoMin"/>
              <x14:cfvo type="autoMax"/>
              <x14:negativeFillColor rgb="FFFF0000"/>
              <x14:axisColor rgb="FF000000"/>
            </x14:dataBar>
          </x14:cfRule>
          <xm:sqref>Y7:Y26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3E3E5"/>
  </sheetPr>
  <dimension ref="A1:DH447"/>
  <sheetViews>
    <sheetView zoomScale="80" zoomScaleNormal="80" workbookViewId="0">
      <selection activeCell="Q198" sqref="Q198"/>
    </sheetView>
  </sheetViews>
  <sheetFormatPr defaultRowHeight="15"/>
  <cols>
    <col min="3" max="3" width="12" customWidth="1"/>
    <col min="4" max="4" width="14.21875" customWidth="1"/>
    <col min="5" max="5" width="14.5546875" customWidth="1"/>
    <col min="6" max="6" width="12.5546875" customWidth="1"/>
    <col min="7" max="7" width="13.33203125" customWidth="1"/>
    <col min="8" max="8" width="13" customWidth="1"/>
    <col min="9" max="9" width="12.6640625" customWidth="1"/>
  </cols>
  <sheetData>
    <row r="1" spans="1:12">
      <c r="A1" s="418" t="s">
        <v>132</v>
      </c>
    </row>
    <row r="2" spans="1:12" hidden="1">
      <c r="B2" s="386" t="s">
        <v>133</v>
      </c>
      <c r="D2" s="565" t="s">
        <v>134</v>
      </c>
      <c r="E2" s="413"/>
      <c r="F2" s="413"/>
      <c r="G2" s="386"/>
    </row>
    <row r="3" spans="1:12" hidden="1">
      <c r="D3" s="386" t="s">
        <v>135</v>
      </c>
      <c r="G3" s="386"/>
    </row>
    <row r="4" spans="1:12" hidden="1">
      <c r="D4" s="386"/>
      <c r="G4" s="386"/>
    </row>
    <row r="5" spans="1:12" ht="15.75" hidden="1">
      <c r="B5" s="79"/>
      <c r="D5" s="376"/>
      <c r="G5" s="4"/>
      <c r="H5" s="4"/>
      <c r="I5" s="4"/>
      <c r="J5" s="4"/>
      <c r="K5" s="4"/>
      <c r="L5" s="4"/>
    </row>
    <row r="6" spans="1:12" ht="60" hidden="1">
      <c r="B6" s="377"/>
      <c r="C6" s="378"/>
      <c r="D6" s="378" t="s">
        <v>136</v>
      </c>
      <c r="E6" s="378" t="s">
        <v>137</v>
      </c>
      <c r="F6" s="378"/>
      <c r="G6" s="378" t="s">
        <v>138</v>
      </c>
      <c r="H6" s="378"/>
      <c r="I6" s="378"/>
      <c r="J6" s="378"/>
      <c r="K6" s="379" t="s">
        <v>139</v>
      </c>
      <c r="L6" s="480" t="s">
        <v>139</v>
      </c>
    </row>
    <row r="7" spans="1:12" ht="15.75" hidden="1">
      <c r="B7" s="380" t="s">
        <v>93</v>
      </c>
      <c r="C7" s="881"/>
      <c r="D7" s="882">
        <v>72478.080000000002</v>
      </c>
      <c r="E7" s="882">
        <v>11394.4</v>
      </c>
      <c r="F7" s="882"/>
      <c r="G7" s="882">
        <f t="shared" ref="G7:G22" si="0">H7*$I$314</f>
        <v>98661.938959004096</v>
      </c>
      <c r="H7" s="562">
        <v>2.4786479941585875E-2</v>
      </c>
      <c r="I7" s="882"/>
      <c r="J7" s="881"/>
      <c r="K7" s="392">
        <f>SUM(D7:E7)</f>
        <v>83872.479999999996</v>
      </c>
      <c r="L7" s="392">
        <f>SUM(D7:G7)</f>
        <v>182534.41895900411</v>
      </c>
    </row>
    <row r="8" spans="1:12" ht="15.75" hidden="1">
      <c r="B8" s="380" t="s">
        <v>94</v>
      </c>
      <c r="C8" s="881"/>
      <c r="D8" s="882">
        <v>158244.82999999999</v>
      </c>
      <c r="E8" s="882">
        <v>76317.919999999998</v>
      </c>
      <c r="F8" s="882"/>
      <c r="G8" s="882">
        <f t="shared" si="0"/>
        <v>27748.963703370842</v>
      </c>
      <c r="H8" s="562">
        <v>6.9712711861378424E-3</v>
      </c>
      <c r="I8" s="882"/>
      <c r="J8" s="881"/>
      <c r="K8" s="392">
        <f t="shared" ref="K8:K22" si="1">SUM(D8:E8)</f>
        <v>234562.75</v>
      </c>
      <c r="L8" s="392">
        <f t="shared" ref="L8:L22" si="2">SUM(D8:G8)</f>
        <v>262311.71370337083</v>
      </c>
    </row>
    <row r="9" spans="1:12" ht="15.75" hidden="1">
      <c r="B9" s="380" t="s">
        <v>95</v>
      </c>
      <c r="C9" s="881"/>
      <c r="D9" s="882">
        <v>390569.42</v>
      </c>
      <c r="E9" s="882">
        <v>153819.49</v>
      </c>
      <c r="F9" s="882"/>
      <c r="G9" s="882">
        <f t="shared" si="0"/>
        <v>207062.22362967423</v>
      </c>
      <c r="H9" s="562">
        <v>5.2019489043182855E-2</v>
      </c>
      <c r="I9" s="882"/>
      <c r="J9" s="881"/>
      <c r="K9" s="392">
        <f t="shared" si="1"/>
        <v>544388.90999999992</v>
      </c>
      <c r="L9" s="392">
        <f t="shared" si="2"/>
        <v>751451.13362967409</v>
      </c>
    </row>
    <row r="10" spans="1:12" ht="15.75" hidden="1">
      <c r="B10" s="380" t="s">
        <v>96</v>
      </c>
      <c r="C10" s="881"/>
      <c r="D10" s="882">
        <v>78871.59</v>
      </c>
      <c r="E10" s="882">
        <v>20490</v>
      </c>
      <c r="F10" s="882"/>
      <c r="G10" s="882">
        <f t="shared" si="0"/>
        <v>63936.561872777747</v>
      </c>
      <c r="H10" s="562">
        <v>1.6062549805067876E-2</v>
      </c>
      <c r="I10" s="882"/>
      <c r="J10" s="881"/>
      <c r="K10" s="392">
        <f t="shared" si="1"/>
        <v>99361.59</v>
      </c>
      <c r="L10" s="392">
        <f t="shared" si="2"/>
        <v>163298.15187277773</v>
      </c>
    </row>
    <row r="11" spans="1:12" ht="15.75" hidden="1">
      <c r="B11" s="380" t="s">
        <v>97</v>
      </c>
      <c r="C11" s="881"/>
      <c r="D11" s="882">
        <v>96200.57</v>
      </c>
      <c r="E11" s="882">
        <v>49437.599999999999</v>
      </c>
      <c r="F11" s="882"/>
      <c r="G11" s="882">
        <f t="shared" si="0"/>
        <v>3371.9783754465329</v>
      </c>
      <c r="H11" s="562">
        <v>8.4712985826475263E-4</v>
      </c>
      <c r="I11" s="882"/>
      <c r="J11" s="881"/>
      <c r="K11" s="392">
        <f t="shared" si="1"/>
        <v>145638.17000000001</v>
      </c>
      <c r="L11" s="392">
        <f t="shared" si="2"/>
        <v>149010.14837544656</v>
      </c>
    </row>
    <row r="12" spans="1:12" ht="15.75" hidden="1">
      <c r="B12" s="380" t="s">
        <v>98</v>
      </c>
      <c r="C12" s="881"/>
      <c r="D12" s="882">
        <v>242127.07</v>
      </c>
      <c r="E12" s="882">
        <v>102972.45</v>
      </c>
      <c r="F12" s="882"/>
      <c r="G12" s="882">
        <f t="shared" si="0"/>
        <v>114412.08185585742</v>
      </c>
      <c r="H12" s="562">
        <v>2.8743331034408823E-2</v>
      </c>
      <c r="I12" s="882"/>
      <c r="J12" s="881"/>
      <c r="K12" s="392">
        <f t="shared" si="1"/>
        <v>345099.52000000002</v>
      </c>
      <c r="L12" s="392">
        <f t="shared" si="2"/>
        <v>459511.60185585741</v>
      </c>
    </row>
    <row r="13" spans="1:12" ht="15.75" hidden="1">
      <c r="B13" s="380" t="s">
        <v>99</v>
      </c>
      <c r="C13" s="881"/>
      <c r="D13" s="882">
        <v>517090.67</v>
      </c>
      <c r="E13" s="882">
        <v>84260.99</v>
      </c>
      <c r="F13" s="882"/>
      <c r="G13" s="882">
        <f t="shared" si="0"/>
        <v>562830.85804369859</v>
      </c>
      <c r="H13" s="562">
        <v>0.14139794859700092</v>
      </c>
      <c r="I13" s="882"/>
      <c r="J13" s="881"/>
      <c r="K13" s="392">
        <f t="shared" si="1"/>
        <v>601351.66</v>
      </c>
      <c r="L13" s="392">
        <f t="shared" si="2"/>
        <v>1164182.5180436987</v>
      </c>
    </row>
    <row r="14" spans="1:12" ht="15.75" hidden="1">
      <c r="B14" s="380" t="s">
        <v>100</v>
      </c>
      <c r="C14" s="881"/>
      <c r="D14" s="882">
        <v>53313.91</v>
      </c>
      <c r="E14" s="882">
        <v>1860.46</v>
      </c>
      <c r="F14" s="882"/>
      <c r="G14" s="882">
        <f t="shared" si="0"/>
        <v>4263.8859412011352</v>
      </c>
      <c r="H14" s="562">
        <v>1.07120055078896E-3</v>
      </c>
      <c r="I14" s="882"/>
      <c r="J14" s="881"/>
      <c r="K14" s="392">
        <f t="shared" si="1"/>
        <v>55174.37</v>
      </c>
      <c r="L14" s="392">
        <f t="shared" si="2"/>
        <v>59438.25594120114</v>
      </c>
    </row>
    <row r="15" spans="1:12" ht="15.75" hidden="1">
      <c r="B15" s="380" t="s">
        <v>101</v>
      </c>
      <c r="C15" s="881"/>
      <c r="D15" s="882">
        <v>48856.25</v>
      </c>
      <c r="E15" s="882">
        <v>1559.07</v>
      </c>
      <c r="F15" s="882"/>
      <c r="G15" s="882">
        <f t="shared" si="0"/>
        <v>6582.4307438688393</v>
      </c>
      <c r="H15" s="562">
        <v>1.6536801254998373E-3</v>
      </c>
      <c r="I15" s="882"/>
      <c r="J15" s="881"/>
      <c r="K15" s="392">
        <f t="shared" si="1"/>
        <v>50415.32</v>
      </c>
      <c r="L15" s="392">
        <f t="shared" si="2"/>
        <v>56997.750743868841</v>
      </c>
    </row>
    <row r="16" spans="1:12" ht="15.75" hidden="1">
      <c r="B16" s="380" t="s">
        <v>102</v>
      </c>
      <c r="C16" s="881"/>
      <c r="D16" s="882">
        <v>246518.78</v>
      </c>
      <c r="E16" s="882">
        <v>110720.05</v>
      </c>
      <c r="F16" s="882"/>
      <c r="G16" s="882">
        <f t="shared" si="0"/>
        <v>49500.022382722091</v>
      </c>
      <c r="H16" s="562">
        <v>1.2435710516567146E-2</v>
      </c>
      <c r="I16" s="882"/>
      <c r="J16" s="881"/>
      <c r="K16" s="392">
        <f t="shared" si="1"/>
        <v>357238.83</v>
      </c>
      <c r="L16" s="392">
        <f t="shared" si="2"/>
        <v>406738.85238272208</v>
      </c>
    </row>
    <row r="17" spans="2:12" ht="15.75" hidden="1">
      <c r="B17" s="380" t="s">
        <v>103</v>
      </c>
      <c r="C17" s="881"/>
      <c r="D17" s="882">
        <v>59393.73</v>
      </c>
      <c r="E17" s="882">
        <v>36401.35</v>
      </c>
      <c r="F17" s="882"/>
      <c r="G17" s="882">
        <f t="shared" si="0"/>
        <v>19078.773462239868</v>
      </c>
      <c r="H17" s="562">
        <v>4.7930908384880462E-3</v>
      </c>
      <c r="I17" s="882"/>
      <c r="J17" s="881"/>
      <c r="K17" s="392">
        <f t="shared" si="1"/>
        <v>95795.08</v>
      </c>
      <c r="L17" s="392">
        <f t="shared" si="2"/>
        <v>114873.85346223987</v>
      </c>
    </row>
    <row r="18" spans="2:12" ht="15.75" hidden="1">
      <c r="B18" s="567" t="s">
        <v>104</v>
      </c>
      <c r="C18" s="881"/>
      <c r="D18" s="889">
        <v>245586.73</v>
      </c>
      <c r="E18" s="889">
        <v>123768.5</v>
      </c>
      <c r="F18" s="882"/>
      <c r="G18" s="882">
        <f t="shared" si="0"/>
        <v>502390.86542182288</v>
      </c>
      <c r="H18" s="562">
        <v>0.12621382916251253</v>
      </c>
      <c r="I18" s="882"/>
      <c r="J18" s="881"/>
      <c r="K18" s="392">
        <f t="shared" si="1"/>
        <v>369355.23</v>
      </c>
      <c r="L18" s="392">
        <f t="shared" si="2"/>
        <v>871746.09542182286</v>
      </c>
    </row>
    <row r="19" spans="2:12" ht="15.75" hidden="1">
      <c r="B19" s="380" t="s">
        <v>105</v>
      </c>
      <c r="C19" s="881"/>
      <c r="D19" s="882">
        <v>20340.07</v>
      </c>
      <c r="E19" s="882">
        <v>572.11</v>
      </c>
      <c r="F19" s="882"/>
      <c r="G19" s="882">
        <f t="shared" si="0"/>
        <v>5814.2369034618469</v>
      </c>
      <c r="H19" s="562">
        <v>1.4606895820602891E-3</v>
      </c>
      <c r="I19" s="882"/>
      <c r="J19" s="881"/>
      <c r="K19" s="392">
        <f t="shared" si="1"/>
        <v>20912.18</v>
      </c>
      <c r="L19" s="392">
        <f t="shared" si="2"/>
        <v>26726.416903461846</v>
      </c>
    </row>
    <row r="20" spans="2:12" ht="15.75" hidden="1">
      <c r="B20" s="380" t="s">
        <v>106</v>
      </c>
      <c r="C20" s="881"/>
      <c r="D20" s="882">
        <v>149730.04</v>
      </c>
      <c r="E20" s="882">
        <v>85179.75</v>
      </c>
      <c r="F20" s="882"/>
      <c r="G20" s="882">
        <f t="shared" si="0"/>
        <v>19237.193883747081</v>
      </c>
      <c r="H20" s="562">
        <v>4.832890224567999E-3</v>
      </c>
      <c r="I20" s="882"/>
      <c r="J20" s="881"/>
      <c r="K20" s="392">
        <f t="shared" si="1"/>
        <v>234909.79</v>
      </c>
      <c r="L20" s="392">
        <f t="shared" si="2"/>
        <v>254146.98388374707</v>
      </c>
    </row>
    <row r="21" spans="2:12" ht="15.75" hidden="1">
      <c r="B21" s="380" t="s">
        <v>107</v>
      </c>
      <c r="C21" s="881"/>
      <c r="D21" s="882">
        <v>80366.880000000005</v>
      </c>
      <c r="E21" s="882">
        <v>37748.68</v>
      </c>
      <c r="F21" s="882"/>
      <c r="G21" s="882">
        <f t="shared" si="0"/>
        <v>14298.257960889696</v>
      </c>
      <c r="H21" s="562">
        <v>3.5920993230679804E-3</v>
      </c>
      <c r="I21" s="882"/>
      <c r="J21" s="881"/>
      <c r="K21" s="392">
        <f t="shared" si="1"/>
        <v>118115.56</v>
      </c>
      <c r="L21" s="392">
        <f t="shared" si="2"/>
        <v>132413.81796088969</v>
      </c>
    </row>
    <row r="22" spans="2:12" ht="15.75" hidden="1">
      <c r="B22" s="567" t="s">
        <v>108</v>
      </c>
      <c r="C22" s="881"/>
      <c r="D22" s="889">
        <v>1540311.39</v>
      </c>
      <c r="E22" s="889">
        <v>103497.19</v>
      </c>
      <c r="F22" s="882"/>
      <c r="G22" s="882">
        <f t="shared" si="0"/>
        <v>2281283.7268602168</v>
      </c>
      <c r="H22" s="562">
        <v>0.57311861021079824</v>
      </c>
      <c r="I22" s="882"/>
      <c r="J22" s="881"/>
      <c r="K22" s="392">
        <f t="shared" si="1"/>
        <v>1643808.5799999998</v>
      </c>
      <c r="L22" s="392">
        <f t="shared" si="2"/>
        <v>3925092.3068602169</v>
      </c>
    </row>
    <row r="23" spans="2:12" ht="15.75" hidden="1">
      <c r="B23" s="426"/>
      <c r="C23" s="382"/>
      <c r="D23" s="425"/>
      <c r="F23" s="425"/>
      <c r="G23" s="425"/>
      <c r="H23" s="425"/>
      <c r="I23" s="425"/>
      <c r="J23" s="382"/>
      <c r="K23" s="392"/>
      <c r="L23" s="392"/>
    </row>
    <row r="24" spans="2:12" ht="15.75" hidden="1">
      <c r="B24" s="381"/>
      <c r="C24" s="382"/>
      <c r="D24" s="425"/>
      <c r="F24" s="425"/>
      <c r="G24" s="425"/>
      <c r="H24" s="425"/>
      <c r="I24" s="425"/>
      <c r="J24" s="382"/>
      <c r="K24" s="392"/>
      <c r="L24" s="392"/>
    </row>
    <row r="25" spans="2:12" ht="15.75" hidden="1">
      <c r="B25" s="383" t="s">
        <v>109</v>
      </c>
      <c r="C25" s="384"/>
      <c r="D25" s="384">
        <f>SUM(D7:D22)</f>
        <v>4000000.01</v>
      </c>
      <c r="E25" s="384">
        <f>SUM(E7:E22)</f>
        <v>1000000.01</v>
      </c>
      <c r="F25" s="384"/>
      <c r="G25" s="384">
        <f>SUM(G7:G22)</f>
        <v>3980474</v>
      </c>
      <c r="H25" s="384"/>
      <c r="I25" s="384"/>
      <c r="J25" s="384"/>
      <c r="K25" s="384">
        <f>SUM(D25:E25)</f>
        <v>5000000.0199999996</v>
      </c>
      <c r="L25" s="384">
        <f t="shared" ref="L25" si="3">SUM(D25:G25)</f>
        <v>8980474.0199999996</v>
      </c>
    </row>
    <row r="26" spans="2:12" hidden="1">
      <c r="B26" s="436" t="s">
        <v>140</v>
      </c>
    </row>
    <row r="27" spans="2:12" hidden="1"/>
    <row r="28" spans="2:12" hidden="1"/>
    <row r="29" spans="2:12" hidden="1">
      <c r="B29" t="s">
        <v>141</v>
      </c>
      <c r="C29" t="s">
        <v>142</v>
      </c>
      <c r="D29" s="386" t="s">
        <v>143</v>
      </c>
    </row>
    <row r="30" spans="2:12" hidden="1">
      <c r="B30" t="s">
        <v>141</v>
      </c>
      <c r="C30" t="s">
        <v>144</v>
      </c>
      <c r="D30" s="417" t="s">
        <v>145</v>
      </c>
    </row>
    <row r="31" spans="2:12" hidden="1">
      <c r="B31" t="s">
        <v>141</v>
      </c>
      <c r="C31" t="s">
        <v>146</v>
      </c>
      <c r="D31" s="417" t="s">
        <v>147</v>
      </c>
    </row>
    <row r="32" spans="2:12" hidden="1">
      <c r="C32" s="436"/>
    </row>
    <row r="33" spans="2:13" hidden="1"/>
    <row r="34" spans="2:13" s="491" customFormat="1" hidden="1">
      <c r="B34" s="491" t="s">
        <v>148</v>
      </c>
    </row>
    <row r="35" spans="2:13" hidden="1"/>
    <row r="36" spans="2:13" hidden="1"/>
    <row r="37" spans="2:13" hidden="1">
      <c r="D37" s="353"/>
    </row>
    <row r="38" spans="2:13" ht="15.75" hidden="1" thickBot="1">
      <c r="B38">
        <v>2023</v>
      </c>
      <c r="I38">
        <v>2024</v>
      </c>
    </row>
    <row r="39" spans="2:13" ht="22.5" hidden="1">
      <c r="B39" s="429"/>
      <c r="C39" s="429"/>
      <c r="D39" s="429"/>
      <c r="E39" s="429"/>
      <c r="F39" s="1131" t="s">
        <v>149</v>
      </c>
      <c r="G39" s="1129">
        <v>4000000</v>
      </c>
      <c r="H39" s="508"/>
      <c r="I39" s="1129">
        <v>4000000</v>
      </c>
      <c r="L39" s="2"/>
    </row>
    <row r="40" spans="2:13" ht="23.25" hidden="1" thickBot="1">
      <c r="B40" s="429"/>
      <c r="C40" s="524"/>
      <c r="D40" s="429"/>
      <c r="E40" s="429"/>
      <c r="F40" s="1132"/>
      <c r="G40" s="1130"/>
      <c r="H40" s="509"/>
      <c r="I40" s="1130"/>
      <c r="J40" s="511"/>
      <c r="K40" s="510"/>
      <c r="L40" s="510"/>
    </row>
    <row r="41" spans="2:13" ht="48.75" hidden="1" thickTop="1" thickBot="1">
      <c r="B41" s="429"/>
      <c r="C41" s="525" t="s">
        <v>150</v>
      </c>
      <c r="D41" s="526" t="s">
        <v>151</v>
      </c>
      <c r="E41" s="527" t="s">
        <v>152</v>
      </c>
      <c r="F41" s="528" t="s">
        <v>153</v>
      </c>
      <c r="G41" s="529" t="s">
        <v>154</v>
      </c>
      <c r="H41" s="513"/>
      <c r="I41" s="514"/>
      <c r="J41" s="2"/>
      <c r="K41" s="4"/>
      <c r="L41" s="14"/>
      <c r="M41" s="2"/>
    </row>
    <row r="42" spans="2:13" ht="19.5" hidden="1" thickBot="1">
      <c r="B42" s="530" t="s">
        <v>109</v>
      </c>
      <c r="C42" s="531">
        <v>19156580</v>
      </c>
      <c r="D42" s="532">
        <v>17.489999999999998</v>
      </c>
      <c r="E42" s="533">
        <v>3379280.1025</v>
      </c>
      <c r="F42" s="534">
        <v>1</v>
      </c>
      <c r="G42" s="535">
        <v>4000000</v>
      </c>
      <c r="H42" s="513"/>
      <c r="I42" s="427"/>
    </row>
    <row r="43" spans="2:13" ht="19.5" hidden="1" thickBot="1">
      <c r="B43" s="536" t="s">
        <v>93</v>
      </c>
      <c r="C43" s="531">
        <v>344963</v>
      </c>
      <c r="D43" s="537">
        <v>17.75</v>
      </c>
      <c r="E43" s="535">
        <v>61230.932500000003</v>
      </c>
      <c r="F43" s="538">
        <v>1.8119519732827476E-2</v>
      </c>
      <c r="G43" s="535">
        <v>72478.078931309909</v>
      </c>
      <c r="H43" s="513"/>
      <c r="I43" s="561">
        <f t="shared" ref="I43:I58" si="4">ROUND($I$226*F43,2)</f>
        <v>72478.080000000002</v>
      </c>
      <c r="J43" s="2"/>
      <c r="L43" s="2"/>
      <c r="M43" s="2"/>
    </row>
    <row r="44" spans="2:13" ht="19.5" hidden="1" thickBot="1">
      <c r="B44" s="536" t="s">
        <v>94</v>
      </c>
      <c r="C44" s="531">
        <v>722640</v>
      </c>
      <c r="D44" s="537">
        <v>18.5</v>
      </c>
      <c r="E44" s="535">
        <v>133688.4</v>
      </c>
      <c r="F44" s="538">
        <v>3.9561207104760854E-2</v>
      </c>
      <c r="G44" s="535">
        <v>158244.82841904342</v>
      </c>
      <c r="H44" s="515"/>
      <c r="I44" s="561">
        <f t="shared" si="4"/>
        <v>158244.82999999999</v>
      </c>
    </row>
    <row r="45" spans="2:13" ht="19.5" hidden="1" thickBot="1">
      <c r="B45" s="536" t="s">
        <v>95</v>
      </c>
      <c r="C45" s="531">
        <v>1692107</v>
      </c>
      <c r="D45" s="537">
        <v>19.5</v>
      </c>
      <c r="E45" s="535">
        <v>329960.86499999999</v>
      </c>
      <c r="F45" s="538">
        <v>9.7642354286019112E-2</v>
      </c>
      <c r="G45" s="535">
        <v>390569.41714407643</v>
      </c>
      <c r="H45" s="513"/>
      <c r="I45" s="561">
        <f t="shared" si="4"/>
        <v>390569.42</v>
      </c>
      <c r="J45" s="2"/>
      <c r="L45" s="2"/>
    </row>
    <row r="46" spans="2:13" ht="19.5" hidden="1" thickBot="1">
      <c r="B46" s="536" t="s">
        <v>96</v>
      </c>
      <c r="C46" s="531">
        <v>380756</v>
      </c>
      <c r="D46" s="537">
        <v>17.5</v>
      </c>
      <c r="E46" s="535">
        <v>66632.3</v>
      </c>
      <c r="F46" s="538">
        <v>1.9717897889170315E-2</v>
      </c>
      <c r="G46" s="535">
        <v>78871.591556681262</v>
      </c>
      <c r="H46" s="515"/>
      <c r="I46" s="561">
        <f t="shared" si="4"/>
        <v>78871.59</v>
      </c>
    </row>
    <row r="47" spans="2:13" ht="19.5" hidden="1" thickBot="1">
      <c r="B47" s="536" t="s">
        <v>97</v>
      </c>
      <c r="C47" s="531">
        <v>439309</v>
      </c>
      <c r="D47" s="537">
        <v>18.5</v>
      </c>
      <c r="E47" s="535">
        <v>81272.164999999994</v>
      </c>
      <c r="F47" s="538">
        <v>2.405014160852622E-2</v>
      </c>
      <c r="G47" s="535">
        <v>96200.566434104883</v>
      </c>
      <c r="H47" s="513"/>
      <c r="I47" s="561">
        <f t="shared" si="4"/>
        <v>96200.57</v>
      </c>
      <c r="J47" s="2"/>
      <c r="L47" s="2"/>
    </row>
    <row r="48" spans="2:13" ht="26.25" hidden="1" thickBot="1">
      <c r="B48" s="536" t="s">
        <v>98</v>
      </c>
      <c r="C48" s="531">
        <v>1136410</v>
      </c>
      <c r="D48" s="537">
        <v>18</v>
      </c>
      <c r="E48" s="535">
        <v>204553.8</v>
      </c>
      <c r="F48" s="538">
        <v>6.0531768245156881E-2</v>
      </c>
      <c r="G48" s="535">
        <v>242127.07298062753</v>
      </c>
      <c r="H48" s="515"/>
      <c r="I48" s="561">
        <f t="shared" si="4"/>
        <v>242127.07</v>
      </c>
    </row>
    <row r="49" spans="2:12" ht="19.5" hidden="1" thickBot="1">
      <c r="B49" s="536" t="s">
        <v>99</v>
      </c>
      <c r="C49" s="531">
        <v>2647567</v>
      </c>
      <c r="D49" s="537">
        <v>16.5</v>
      </c>
      <c r="E49" s="535">
        <v>436848.55499999999</v>
      </c>
      <c r="F49" s="538">
        <v>0.12927266806821319</v>
      </c>
      <c r="G49" s="535">
        <v>517090.6722728528</v>
      </c>
      <c r="H49" s="513"/>
      <c r="I49" s="561">
        <f t="shared" si="4"/>
        <v>517090.67</v>
      </c>
      <c r="J49" s="2"/>
      <c r="L49" s="2"/>
    </row>
    <row r="50" spans="2:12" ht="19.5" hidden="1" thickBot="1">
      <c r="B50" s="536" t="s">
        <v>100</v>
      </c>
      <c r="C50" s="531">
        <v>243463</v>
      </c>
      <c r="D50" s="537">
        <v>18.5</v>
      </c>
      <c r="E50" s="535">
        <v>45040.654999999999</v>
      </c>
      <c r="F50" s="538">
        <v>1.332847637183991E-2</v>
      </c>
      <c r="G50" s="535">
        <v>53313.90548735964</v>
      </c>
      <c r="H50" s="515"/>
      <c r="I50" s="561">
        <f t="shared" si="4"/>
        <v>53313.91</v>
      </c>
    </row>
    <row r="51" spans="2:12" ht="19.5" hidden="1" thickBot="1">
      <c r="B51" s="536" t="s">
        <v>101</v>
      </c>
      <c r="C51" s="531">
        <v>208986</v>
      </c>
      <c r="D51" s="537">
        <v>19.75</v>
      </c>
      <c r="E51" s="535">
        <v>41274.735000000001</v>
      </c>
      <c r="F51" s="538">
        <v>1.2214061500692069E-2</v>
      </c>
      <c r="G51" s="535">
        <v>48856.246002768276</v>
      </c>
      <c r="H51" s="513"/>
      <c r="I51" s="561">
        <f t="shared" si="4"/>
        <v>48856.25</v>
      </c>
      <c r="J51" s="2"/>
      <c r="L51" s="2"/>
    </row>
    <row r="52" spans="2:12" ht="19.5" hidden="1" thickBot="1">
      <c r="B52" s="536" t="s">
        <v>102</v>
      </c>
      <c r="C52" s="531">
        <v>1190080</v>
      </c>
      <c r="D52" s="537">
        <v>17.5</v>
      </c>
      <c r="E52" s="535">
        <v>208264</v>
      </c>
      <c r="F52" s="538">
        <v>6.1629694397314319E-2</v>
      </c>
      <c r="G52" s="535">
        <v>246518.77758925728</v>
      </c>
      <c r="H52" s="515"/>
      <c r="I52" s="561">
        <f t="shared" si="4"/>
        <v>246518.78</v>
      </c>
    </row>
    <row r="53" spans="2:12" ht="26.25" hidden="1" thickBot="1">
      <c r="B53" s="536" t="s">
        <v>103</v>
      </c>
      <c r="C53" s="531">
        <v>257318</v>
      </c>
      <c r="D53" s="537">
        <v>19.5</v>
      </c>
      <c r="E53" s="535">
        <v>50177.01</v>
      </c>
      <c r="F53" s="538">
        <v>1.4848431760030464E-2</v>
      </c>
      <c r="G53" s="535">
        <v>59393.727040121856</v>
      </c>
      <c r="H53" s="513"/>
      <c r="I53" s="561">
        <f t="shared" si="4"/>
        <v>59393.73</v>
      </c>
      <c r="J53" s="2"/>
      <c r="L53" s="2"/>
    </row>
    <row r="54" spans="2:12" ht="19.5" hidden="1" thickBot="1">
      <c r="B54" s="536" t="s">
        <v>108</v>
      </c>
      <c r="C54" s="531">
        <v>7654623</v>
      </c>
      <c r="D54" s="537">
        <v>17</v>
      </c>
      <c r="E54" s="535">
        <v>1301285.9099999999</v>
      </c>
      <c r="F54" s="538">
        <v>0.38507784810063694</v>
      </c>
      <c r="G54" s="535">
        <v>1540311.3924025479</v>
      </c>
      <c r="H54" s="515"/>
      <c r="I54" s="561">
        <f t="shared" si="4"/>
        <v>1540311.39</v>
      </c>
    </row>
    <row r="55" spans="2:12" ht="19.5" hidden="1" thickBot="1">
      <c r="B55" s="536" t="s">
        <v>104</v>
      </c>
      <c r="C55" s="531">
        <v>1136858</v>
      </c>
      <c r="D55" s="537">
        <v>18.25</v>
      </c>
      <c r="E55" s="535">
        <v>207476.58499999999</v>
      </c>
      <c r="F55" s="538">
        <v>6.1396681750799022E-2</v>
      </c>
      <c r="G55" s="535">
        <v>245586.72700319608</v>
      </c>
      <c r="H55" s="513"/>
      <c r="I55" s="561">
        <f t="shared" si="4"/>
        <v>245586.73</v>
      </c>
      <c r="J55" s="2"/>
      <c r="L55" s="2"/>
    </row>
    <row r="56" spans="2:12" ht="19.5" hidden="1" thickBot="1">
      <c r="B56" s="536" t="s">
        <v>105</v>
      </c>
      <c r="C56" s="531">
        <v>95465</v>
      </c>
      <c r="D56" s="537">
        <v>18</v>
      </c>
      <c r="E56" s="535">
        <v>17183.7</v>
      </c>
      <c r="F56" s="538">
        <v>5.0850179561284237E-3</v>
      </c>
      <c r="G56" s="535">
        <v>20340.071824513696</v>
      </c>
      <c r="H56" s="515"/>
      <c r="I56" s="561">
        <f t="shared" si="4"/>
        <v>20340.07</v>
      </c>
    </row>
    <row r="57" spans="2:12" ht="19.5" hidden="1" thickBot="1">
      <c r="B57" s="536" t="s">
        <v>106</v>
      </c>
      <c r="C57" s="531">
        <v>648692</v>
      </c>
      <c r="D57" s="537">
        <v>19.5</v>
      </c>
      <c r="E57" s="535">
        <v>126494.94</v>
      </c>
      <c r="F57" s="538">
        <v>3.7432511115731044E-2</v>
      </c>
      <c r="G57" s="535">
        <v>149730.04446292418</v>
      </c>
      <c r="H57" s="513"/>
      <c r="I57" s="561">
        <f t="shared" si="4"/>
        <v>149730.04</v>
      </c>
      <c r="J57" s="2"/>
      <c r="L57" s="2"/>
    </row>
    <row r="58" spans="2:12" ht="19.5" hidden="1" thickBot="1">
      <c r="B58" s="539" t="s">
        <v>107</v>
      </c>
      <c r="C58" s="540">
        <v>357345</v>
      </c>
      <c r="D58" s="541">
        <v>19</v>
      </c>
      <c r="E58" s="542">
        <v>67895.55</v>
      </c>
      <c r="F58" s="543">
        <v>2.0091720112153683E-2</v>
      </c>
      <c r="G58" s="542">
        <v>80366.880448614727</v>
      </c>
      <c r="H58" s="515"/>
      <c r="I58" s="561">
        <f t="shared" si="4"/>
        <v>80366.880000000005</v>
      </c>
    </row>
    <row r="59" spans="2:12" hidden="1">
      <c r="H59" s="513"/>
      <c r="I59" s="514"/>
      <c r="J59" s="2"/>
      <c r="L59" s="2"/>
    </row>
    <row r="60" spans="2:12" hidden="1">
      <c r="B60" s="512"/>
      <c r="C60" s="512"/>
      <c r="D60" s="515"/>
      <c r="E60" s="427"/>
      <c r="H60" s="515"/>
      <c r="I60" s="427">
        <f>SUM(I43:I58)</f>
        <v>4000000.01</v>
      </c>
    </row>
    <row r="61" spans="2:12" hidden="1">
      <c r="B61" s="512"/>
      <c r="C61" s="512"/>
      <c r="D61" s="513"/>
      <c r="E61" s="514"/>
      <c r="F61" s="2"/>
      <c r="H61" s="513"/>
      <c r="I61" s="514"/>
      <c r="J61" s="2"/>
      <c r="L61" s="2"/>
    </row>
    <row r="62" spans="2:12" hidden="1">
      <c r="B62" s="512"/>
      <c r="C62" s="512"/>
      <c r="D62" s="515"/>
      <c r="E62" s="427"/>
      <c r="H62" s="515"/>
      <c r="I62" s="427"/>
    </row>
    <row r="63" spans="2:12" hidden="1">
      <c r="B63" s="512"/>
      <c r="C63" s="512"/>
      <c r="D63" s="513"/>
      <c r="E63" s="514"/>
      <c r="F63" s="2"/>
      <c r="H63" s="513"/>
      <c r="I63" s="514"/>
      <c r="J63" s="2"/>
      <c r="L63" s="2"/>
    </row>
    <row r="64" spans="2:12" hidden="1">
      <c r="B64" s="512"/>
      <c r="C64" s="512"/>
      <c r="D64" s="515"/>
      <c r="E64" s="427"/>
      <c r="H64" s="515"/>
      <c r="I64" s="427"/>
    </row>
    <row r="65" spans="2:12" hidden="1">
      <c r="B65" s="512"/>
      <c r="C65" s="512"/>
      <c r="D65" s="513"/>
      <c r="E65" s="514"/>
      <c r="F65" s="2"/>
      <c r="H65" s="513"/>
      <c r="I65" s="514"/>
      <c r="J65" s="2"/>
      <c r="L65" s="2"/>
    </row>
    <row r="66" spans="2:12" ht="15.75" hidden="1" thickBot="1">
      <c r="B66" s="512"/>
      <c r="C66" s="512"/>
      <c r="D66" s="515"/>
      <c r="E66" s="427"/>
      <c r="H66" s="515"/>
      <c r="I66" s="427">
        <v>2024</v>
      </c>
    </row>
    <row r="67" spans="2:12" hidden="1">
      <c r="B67" s="429"/>
      <c r="C67" s="429"/>
      <c r="D67" s="429"/>
      <c r="E67" s="429"/>
      <c r="F67" s="1131" t="s">
        <v>149</v>
      </c>
      <c r="G67" s="1129">
        <v>1000000</v>
      </c>
      <c r="H67" s="513"/>
      <c r="I67" s="1129">
        <v>1000000</v>
      </c>
      <c r="J67" s="2"/>
      <c r="L67" s="2"/>
    </row>
    <row r="68" spans="2:12" ht="23.25" hidden="1" thickBot="1">
      <c r="B68" s="429"/>
      <c r="C68" s="524"/>
      <c r="D68" s="429"/>
      <c r="E68" s="429"/>
      <c r="F68" s="1132"/>
      <c r="G68" s="1130"/>
      <c r="H68" s="515"/>
      <c r="I68" s="1130"/>
    </row>
    <row r="69" spans="2:12" ht="106.5" hidden="1" thickTop="1" thickBot="1">
      <c r="B69" s="429"/>
      <c r="C69" s="525" t="s">
        <v>155</v>
      </c>
      <c r="D69" s="526" t="s">
        <v>151</v>
      </c>
      <c r="E69" s="527" t="s">
        <v>156</v>
      </c>
      <c r="F69" s="528" t="s">
        <v>153</v>
      </c>
      <c r="G69" s="529" t="s">
        <v>154</v>
      </c>
      <c r="H69" s="513"/>
      <c r="I69" s="514"/>
      <c r="J69" s="2"/>
      <c r="L69" s="2"/>
    </row>
    <row r="70" spans="2:12" ht="19.5" hidden="1" thickBot="1">
      <c r="B70" s="530" t="s">
        <v>109</v>
      </c>
      <c r="C70" s="531">
        <v>6632481</v>
      </c>
      <c r="D70" s="532">
        <v>17.489999999999998</v>
      </c>
      <c r="E70" s="533">
        <v>1206876.7643521384</v>
      </c>
      <c r="F70" s="534">
        <v>1</v>
      </c>
      <c r="G70" s="535">
        <v>1000000.0000000001</v>
      </c>
      <c r="H70" s="515"/>
      <c r="I70" s="427"/>
    </row>
    <row r="71" spans="2:12" ht="19.5" hidden="1" thickBot="1">
      <c r="B71" s="536" t="s">
        <v>93</v>
      </c>
      <c r="C71" s="531">
        <v>77474</v>
      </c>
      <c r="D71" s="537">
        <v>17.75</v>
      </c>
      <c r="E71" s="535">
        <v>13751.635</v>
      </c>
      <c r="F71" s="538">
        <v>1.1394398671170038E-2</v>
      </c>
      <c r="G71" s="535">
        <v>11394.398671170038</v>
      </c>
      <c r="H71" s="513"/>
      <c r="I71" s="561">
        <f t="shared" ref="I71:I86" si="5">ROUND($I$254*F71,2)</f>
        <v>11394.4</v>
      </c>
      <c r="J71" s="2"/>
      <c r="L71" s="2"/>
    </row>
    <row r="72" spans="2:12" ht="19.5" hidden="1" thickBot="1">
      <c r="B72" s="536" t="s">
        <v>94</v>
      </c>
      <c r="C72" s="531">
        <v>497872</v>
      </c>
      <c r="D72" s="537">
        <v>18.5</v>
      </c>
      <c r="E72" s="535">
        <v>92106.32</v>
      </c>
      <c r="F72" s="538">
        <v>7.6317916394258736E-2</v>
      </c>
      <c r="G72" s="535">
        <v>76317.916394258733</v>
      </c>
      <c r="H72" s="515"/>
      <c r="I72" s="561">
        <f t="shared" si="5"/>
        <v>76317.919999999998</v>
      </c>
    </row>
    <row r="73" spans="2:12" ht="19.5" hidden="1" thickBot="1">
      <c r="B73" s="536" t="s">
        <v>95</v>
      </c>
      <c r="C73" s="531">
        <v>952006</v>
      </c>
      <c r="D73" s="537">
        <v>19.5</v>
      </c>
      <c r="E73" s="535">
        <v>185641.17</v>
      </c>
      <c r="F73" s="538">
        <v>0.15381949133775374</v>
      </c>
      <c r="G73" s="535">
        <v>153819.49133775375</v>
      </c>
      <c r="H73" s="513"/>
      <c r="I73" s="561">
        <f t="shared" si="5"/>
        <v>153819.49</v>
      </c>
      <c r="J73" s="2"/>
      <c r="L73" s="2"/>
    </row>
    <row r="74" spans="2:12" ht="19.5" hidden="1" thickBot="1">
      <c r="B74" s="536" t="s">
        <v>96</v>
      </c>
      <c r="C74" s="531">
        <v>141308</v>
      </c>
      <c r="D74" s="537">
        <v>17.5</v>
      </c>
      <c r="E74" s="535">
        <v>24728.9</v>
      </c>
      <c r="F74" s="538">
        <v>2.0489995938628151E-2</v>
      </c>
      <c r="G74" s="535">
        <v>20489.995938628152</v>
      </c>
      <c r="H74" s="515"/>
      <c r="I74" s="561">
        <f t="shared" si="5"/>
        <v>20490</v>
      </c>
    </row>
    <row r="75" spans="2:12" ht="19.5" hidden="1" thickBot="1">
      <c r="B75" s="536" t="s">
        <v>97</v>
      </c>
      <c r="C75" s="531">
        <v>322514</v>
      </c>
      <c r="D75" s="537">
        <v>18.5</v>
      </c>
      <c r="E75" s="535">
        <v>59665.09</v>
      </c>
      <c r="F75" s="538">
        <v>4.9437599398998056E-2</v>
      </c>
      <c r="G75" s="535">
        <v>49437.599398998056</v>
      </c>
      <c r="I75" s="561">
        <f t="shared" si="5"/>
        <v>49437.599999999999</v>
      </c>
    </row>
    <row r="76" spans="2:12" ht="26.25" hidden="1" thickBot="1">
      <c r="B76" s="536" t="s">
        <v>98</v>
      </c>
      <c r="C76" s="531">
        <v>690417</v>
      </c>
      <c r="D76" s="537">
        <v>18</v>
      </c>
      <c r="E76" s="535">
        <v>124275.06</v>
      </c>
      <c r="F76" s="538">
        <v>0.10297245225920966</v>
      </c>
      <c r="G76" s="535">
        <v>102972.45225920966</v>
      </c>
      <c r="I76" s="561">
        <f t="shared" si="5"/>
        <v>102972.45</v>
      </c>
    </row>
    <row r="77" spans="2:12" ht="19.5" hidden="1" thickBot="1">
      <c r="B77" s="536" t="s">
        <v>99</v>
      </c>
      <c r="C77" s="531">
        <v>616319</v>
      </c>
      <c r="D77" s="537">
        <v>16.5</v>
      </c>
      <c r="E77" s="535">
        <v>101692.63499999999</v>
      </c>
      <c r="F77" s="538">
        <v>8.4260993337285317E-2</v>
      </c>
      <c r="G77" s="535">
        <v>84260.993337285312</v>
      </c>
      <c r="I77" s="561">
        <f t="shared" si="5"/>
        <v>84260.99</v>
      </c>
    </row>
    <row r="78" spans="2:12" ht="19.5" hidden="1" thickBot="1">
      <c r="B78" s="536" t="s">
        <v>100</v>
      </c>
      <c r="C78" s="531">
        <v>12137</v>
      </c>
      <c r="D78" s="537">
        <v>18.5</v>
      </c>
      <c r="E78" s="535">
        <v>2245.3449999999998</v>
      </c>
      <c r="F78" s="538">
        <v>1.8604592169817107E-3</v>
      </c>
      <c r="G78" s="535">
        <v>1860.4592169817106</v>
      </c>
      <c r="I78" s="561">
        <f t="shared" si="5"/>
        <v>1860.46</v>
      </c>
    </row>
    <row r="79" spans="2:12" ht="19.5" hidden="1" thickBot="1">
      <c r="B79" s="536" t="s">
        <v>101</v>
      </c>
      <c r="C79" s="531">
        <v>9527.1058364817018</v>
      </c>
      <c r="D79" s="537">
        <v>19.75</v>
      </c>
      <c r="E79" s="535">
        <v>1881.6034027051362</v>
      </c>
      <c r="F79" s="538">
        <v>1.5590683807018165E-3</v>
      </c>
      <c r="G79" s="535">
        <v>1559.0683807018165</v>
      </c>
      <c r="I79" s="561">
        <f t="shared" si="5"/>
        <v>1559.07</v>
      </c>
    </row>
    <row r="80" spans="2:12" ht="23.25" hidden="1" thickBot="1">
      <c r="B80" s="536" t="s">
        <v>102</v>
      </c>
      <c r="C80" s="531">
        <v>763574</v>
      </c>
      <c r="D80" s="537">
        <v>17.5</v>
      </c>
      <c r="E80" s="535">
        <v>133625.45000000001</v>
      </c>
      <c r="F80" s="538">
        <v>0.1107200452829426</v>
      </c>
      <c r="G80" s="535">
        <v>110720.04528294261</v>
      </c>
      <c r="H80" s="508"/>
      <c r="I80" s="561">
        <f t="shared" si="5"/>
        <v>110720.05</v>
      </c>
      <c r="L80" s="2"/>
    </row>
    <row r="81" spans="2:12" ht="26.25" hidden="1" thickBot="1">
      <c r="B81" s="536" t="s">
        <v>103</v>
      </c>
      <c r="C81" s="531">
        <v>225292</v>
      </c>
      <c r="D81" s="537">
        <v>19.5</v>
      </c>
      <c r="E81" s="535">
        <v>43931.94</v>
      </c>
      <c r="F81" s="538">
        <v>3.6401347094939751E-2</v>
      </c>
      <c r="G81" s="535">
        <v>36401.347094939752</v>
      </c>
      <c r="H81" s="509"/>
      <c r="I81" s="561">
        <f t="shared" si="5"/>
        <v>36401.35</v>
      </c>
      <c r="J81" s="511"/>
      <c r="K81" s="510"/>
      <c r="L81" s="510"/>
    </row>
    <row r="82" spans="2:12" ht="19.5" hidden="1" thickBot="1">
      <c r="B82" s="536" t="s">
        <v>108</v>
      </c>
      <c r="C82" s="531">
        <v>734755</v>
      </c>
      <c r="D82" s="537">
        <v>17</v>
      </c>
      <c r="E82" s="535">
        <v>124908.35</v>
      </c>
      <c r="F82" s="538">
        <v>0.10349718686236524</v>
      </c>
      <c r="G82" s="535">
        <v>103497.18686236524</v>
      </c>
      <c r="H82" s="513"/>
      <c r="I82" s="561">
        <f t="shared" si="5"/>
        <v>103497.19</v>
      </c>
      <c r="J82" s="2"/>
      <c r="K82" s="4"/>
      <c r="L82" s="14"/>
    </row>
    <row r="83" spans="2:12" ht="19.5" hidden="1" thickBot="1">
      <c r="B83" s="536" t="s">
        <v>104</v>
      </c>
      <c r="C83" s="531">
        <v>818484</v>
      </c>
      <c r="D83" s="537">
        <v>18.25</v>
      </c>
      <c r="E83" s="535">
        <v>149373.32999999999</v>
      </c>
      <c r="F83" s="538">
        <v>0.12376850264424873</v>
      </c>
      <c r="G83" s="535">
        <v>123768.50264424873</v>
      </c>
      <c r="H83" s="513"/>
      <c r="I83" s="561">
        <f t="shared" si="5"/>
        <v>123768.5</v>
      </c>
    </row>
    <row r="84" spans="2:12" ht="19.5" hidden="1" thickBot="1">
      <c r="B84" s="536" t="s">
        <v>105</v>
      </c>
      <c r="C84" s="531">
        <v>3835.8941635182991</v>
      </c>
      <c r="D84" s="537">
        <v>18</v>
      </c>
      <c r="E84" s="535">
        <v>690.46094943329388</v>
      </c>
      <c r="F84" s="538">
        <v>5.7210559505960754E-4</v>
      </c>
      <c r="G84" s="535">
        <v>572.10559505960759</v>
      </c>
      <c r="H84" s="513"/>
      <c r="I84" s="561">
        <f t="shared" si="5"/>
        <v>572.11</v>
      </c>
      <c r="J84" s="2"/>
      <c r="L84" s="2"/>
    </row>
    <row r="85" spans="2:12" ht="19.5" hidden="1" thickBot="1">
      <c r="B85" s="536" t="s">
        <v>106</v>
      </c>
      <c r="C85" s="531">
        <v>527187</v>
      </c>
      <c r="D85" s="537">
        <v>19.5</v>
      </c>
      <c r="E85" s="535">
        <v>102801.465</v>
      </c>
      <c r="F85" s="538">
        <v>8.5179753257727753E-2</v>
      </c>
      <c r="G85" s="535">
        <v>85179.75325772776</v>
      </c>
      <c r="H85" s="515"/>
      <c r="I85" s="561">
        <f t="shared" si="5"/>
        <v>85179.75</v>
      </c>
    </row>
    <row r="86" spans="2:12" ht="19.5" hidden="1" thickBot="1">
      <c r="B86" s="539" t="s">
        <v>107</v>
      </c>
      <c r="C86" s="540">
        <v>239779</v>
      </c>
      <c r="D86" s="541">
        <v>19</v>
      </c>
      <c r="E86" s="542">
        <v>45558.01</v>
      </c>
      <c r="F86" s="543">
        <v>3.7748684327729126E-2</v>
      </c>
      <c r="G86" s="542">
        <v>37748.684327729126</v>
      </c>
      <c r="H86" s="513"/>
      <c r="I86" s="561">
        <f t="shared" si="5"/>
        <v>37748.68</v>
      </c>
      <c r="J86" s="2"/>
      <c r="L86" s="2"/>
    </row>
    <row r="87" spans="2:12" hidden="1">
      <c r="H87" s="515"/>
      <c r="I87" s="427"/>
    </row>
    <row r="88" spans="2:12" hidden="1">
      <c r="B88" s="512"/>
      <c r="C88" s="512"/>
      <c r="D88" s="513"/>
      <c r="E88" s="514"/>
      <c r="F88" s="2"/>
      <c r="H88" s="513"/>
      <c r="I88" s="427">
        <f>SUM(I71:I86)</f>
        <v>1000000.01</v>
      </c>
      <c r="J88" s="2"/>
      <c r="L88" s="2"/>
    </row>
    <row r="89" spans="2:12" hidden="1">
      <c r="B89" s="512"/>
      <c r="C89" s="512"/>
      <c r="D89" s="515"/>
      <c r="E89" s="427"/>
      <c r="H89" s="515"/>
      <c r="I89" s="427"/>
    </row>
    <row r="90" spans="2:12" hidden="1">
      <c r="B90" s="512"/>
      <c r="C90" s="512"/>
      <c r="D90" s="513"/>
      <c r="E90" s="514"/>
      <c r="F90" s="2"/>
      <c r="H90" s="513"/>
      <c r="I90" s="514"/>
      <c r="J90" s="2"/>
      <c r="L90" s="2"/>
    </row>
    <row r="91" spans="2:12" hidden="1">
      <c r="B91" s="512"/>
      <c r="C91" s="512"/>
      <c r="D91" s="515"/>
      <c r="E91" s="427"/>
      <c r="H91" s="515"/>
      <c r="I91" s="427"/>
    </row>
    <row r="92" spans="2:12" hidden="1">
      <c r="B92" s="512"/>
      <c r="C92" s="512"/>
      <c r="D92" s="513"/>
      <c r="E92" s="514"/>
      <c r="F92" s="2"/>
      <c r="H92" s="513"/>
      <c r="I92" s="514"/>
      <c r="J92" s="2"/>
      <c r="L92" s="2"/>
    </row>
    <row r="93" spans="2:12" ht="21" hidden="1">
      <c r="B93" s="435"/>
      <c r="C93" s="547" t="s">
        <v>157</v>
      </c>
      <c r="D93" s="2"/>
      <c r="H93" s="515"/>
      <c r="I93" s="427"/>
    </row>
    <row r="94" spans="2:12" hidden="1">
      <c r="B94" s="435"/>
      <c r="D94" s="2"/>
      <c r="F94" s="2"/>
      <c r="H94" s="513"/>
      <c r="I94" s="514"/>
      <c r="J94" s="2"/>
      <c r="L94" s="2"/>
    </row>
    <row r="95" spans="2:12" ht="15.75" hidden="1" thickBot="1">
      <c r="B95" s="435"/>
      <c r="D95" s="2"/>
      <c r="H95" s="515"/>
      <c r="I95" s="513">
        <v>2024</v>
      </c>
    </row>
    <row r="96" spans="2:12" hidden="1">
      <c r="B96" s="435"/>
      <c r="D96" s="2"/>
      <c r="F96" s="2"/>
      <c r="I96" s="1129">
        <v>100000000</v>
      </c>
      <c r="J96" s="2"/>
      <c r="L96" s="2"/>
    </row>
    <row r="97" spans="2:12" ht="15.75" hidden="1" thickBot="1">
      <c r="B97" s="435" t="s">
        <v>158</v>
      </c>
      <c r="C97" s="417" t="s">
        <v>159</v>
      </c>
      <c r="D97" s="2">
        <v>96000000</v>
      </c>
      <c r="H97" s="386"/>
      <c r="I97" s="1130"/>
    </row>
    <row r="98" spans="2:12" ht="15.75" hidden="1">
      <c r="B98" s="435"/>
      <c r="D98" s="2"/>
      <c r="F98" s="2"/>
      <c r="H98" s="544"/>
      <c r="I98" s="514"/>
      <c r="J98" s="497"/>
      <c r="L98" s="2"/>
    </row>
    <row r="99" spans="2:12" ht="180" hidden="1">
      <c r="B99" s="435"/>
      <c r="C99" s="55" t="s">
        <v>160</v>
      </c>
      <c r="D99" s="2"/>
      <c r="H99" s="515"/>
      <c r="I99" s="427"/>
    </row>
    <row r="100" spans="2:12" hidden="1">
      <c r="B100" s="435"/>
      <c r="C100" s="548" t="s">
        <v>161</v>
      </c>
      <c r="D100" s="2">
        <v>39134960</v>
      </c>
      <c r="F100" s="2"/>
      <c r="H100" s="513"/>
      <c r="I100" s="514"/>
      <c r="J100" s="2"/>
      <c r="L100" s="2"/>
    </row>
    <row r="101" spans="2:12" hidden="1">
      <c r="B101" s="435"/>
      <c r="C101" s="548" t="s">
        <v>162</v>
      </c>
      <c r="D101" s="2">
        <v>29729988</v>
      </c>
      <c r="H101" s="515"/>
      <c r="I101" s="427"/>
    </row>
    <row r="102" spans="2:12" hidden="1">
      <c r="B102" s="435"/>
      <c r="C102" s="548" t="s">
        <v>163</v>
      </c>
      <c r="D102" s="2">
        <v>22802700</v>
      </c>
      <c r="F102" s="2"/>
      <c r="H102" s="513"/>
      <c r="I102" s="514"/>
      <c r="J102" s="2"/>
      <c r="L102" s="2"/>
    </row>
    <row r="103" spans="2:12" hidden="1">
      <c r="B103" s="435"/>
      <c r="C103" s="548" t="s">
        <v>164</v>
      </c>
      <c r="D103" s="2">
        <v>700000</v>
      </c>
      <c r="H103" s="515"/>
      <c r="I103" s="427"/>
    </row>
    <row r="104" spans="2:12" hidden="1">
      <c r="B104" s="435"/>
      <c r="C104" s="548" t="s">
        <v>165</v>
      </c>
      <c r="D104" s="2">
        <v>13000</v>
      </c>
      <c r="F104" s="2"/>
      <c r="H104" s="513"/>
      <c r="I104" s="514"/>
      <c r="J104" s="2"/>
      <c r="L104" s="2"/>
    </row>
    <row r="105" spans="2:12" hidden="1">
      <c r="B105" s="435"/>
      <c r="C105" s="548" t="s">
        <v>166</v>
      </c>
      <c r="D105" s="2">
        <v>4000000</v>
      </c>
      <c r="H105" s="515"/>
      <c r="I105" s="427"/>
    </row>
    <row r="106" spans="2:12" ht="16.5" hidden="1" thickBot="1">
      <c r="B106" s="435" t="s">
        <v>167</v>
      </c>
      <c r="C106" s="812" t="s">
        <v>168</v>
      </c>
      <c r="D106" s="813">
        <v>96380648</v>
      </c>
      <c r="F106" s="2"/>
      <c r="H106" s="513"/>
      <c r="I106" s="514"/>
      <c r="J106" s="2"/>
      <c r="L106" s="2"/>
    </row>
    <row r="107" spans="2:12" ht="15.75" hidden="1" thickTop="1">
      <c r="B107" s="435"/>
      <c r="D107" s="2"/>
      <c r="H107" s="515"/>
      <c r="I107" s="427"/>
    </row>
    <row r="108" spans="2:12" hidden="1">
      <c r="B108" s="435" t="s">
        <v>169</v>
      </c>
      <c r="C108" t="s">
        <v>170</v>
      </c>
      <c r="D108" s="507">
        <v>0.99605057646012096</v>
      </c>
      <c r="F108" s="2"/>
      <c r="H108" s="513"/>
      <c r="I108" s="514"/>
      <c r="J108" s="2"/>
      <c r="L108" s="2"/>
    </row>
    <row r="109" spans="2:12" hidden="1">
      <c r="B109" s="435"/>
      <c r="D109" s="2"/>
      <c r="H109" s="515"/>
      <c r="I109" s="427"/>
    </row>
    <row r="110" spans="2:12" ht="120" hidden="1">
      <c r="B110" s="435" t="s">
        <v>171</v>
      </c>
      <c r="C110" s="54" t="s">
        <v>172</v>
      </c>
      <c r="D110" s="14">
        <v>22712642.4798472</v>
      </c>
      <c r="F110" s="2"/>
      <c r="H110" s="544"/>
      <c r="I110" s="514"/>
      <c r="J110" s="497"/>
      <c r="L110" s="2"/>
    </row>
    <row r="111" spans="2:12" hidden="1">
      <c r="B111" s="435"/>
      <c r="D111" s="2"/>
      <c r="H111" s="515"/>
      <c r="I111" s="427"/>
    </row>
    <row r="112" spans="2:12" hidden="1">
      <c r="B112" s="435"/>
      <c r="D112" s="2"/>
      <c r="F112" s="2"/>
      <c r="H112" s="513"/>
      <c r="I112" s="514"/>
      <c r="J112" s="2"/>
      <c r="L112" s="2"/>
    </row>
    <row r="113" spans="2:12" hidden="1">
      <c r="B113" s="435" t="s">
        <v>173</v>
      </c>
      <c r="C113" t="s">
        <v>174</v>
      </c>
      <c r="D113" s="549">
        <v>0.76090000000000002</v>
      </c>
      <c r="E113" s="417" t="s">
        <v>175</v>
      </c>
      <c r="H113" s="515"/>
      <c r="I113" s="427"/>
    </row>
    <row r="114" spans="2:12" hidden="1">
      <c r="B114" s="435"/>
      <c r="D114" s="2"/>
      <c r="F114" s="2"/>
      <c r="H114" s="513"/>
      <c r="I114" s="514"/>
      <c r="J114" s="2"/>
      <c r="L114" s="2"/>
    </row>
    <row r="115" spans="2:12" ht="90" hidden="1">
      <c r="B115" s="435" t="s">
        <v>176</v>
      </c>
      <c r="C115" s="435" t="s">
        <v>177</v>
      </c>
      <c r="D115" s="550">
        <v>0.1125</v>
      </c>
      <c r="E115" s="551" t="s">
        <v>178</v>
      </c>
      <c r="H115" s="515"/>
      <c r="I115" s="427"/>
    </row>
    <row r="116" spans="2:12" hidden="1">
      <c r="B116" s="435"/>
      <c r="D116" s="2"/>
    </row>
    <row r="117" spans="2:12" ht="135" hidden="1">
      <c r="B117" s="435" t="s">
        <v>179</v>
      </c>
      <c r="C117" s="552" t="s">
        <v>180</v>
      </c>
      <c r="D117" s="14">
        <v>3358092</v>
      </c>
      <c r="E117" s="4" t="s">
        <v>181</v>
      </c>
    </row>
    <row r="118" spans="2:12" hidden="1">
      <c r="B118" s="435"/>
      <c r="D118" s="2"/>
      <c r="H118" s="2"/>
    </row>
    <row r="119" spans="2:12" hidden="1">
      <c r="B119" s="435" t="s">
        <v>182</v>
      </c>
      <c r="C119" t="s">
        <v>183</v>
      </c>
      <c r="D119" s="2"/>
      <c r="H119" s="2"/>
    </row>
    <row r="120" spans="2:12" ht="15.75" hidden="1">
      <c r="B120" s="435"/>
      <c r="C120" t="s">
        <v>184</v>
      </c>
      <c r="D120" s="2"/>
      <c r="F120" s="545"/>
      <c r="G120" s="545"/>
      <c r="H120" s="546"/>
    </row>
    <row r="121" spans="2:12" hidden="1">
      <c r="B121" s="435"/>
      <c r="D121" s="2"/>
    </row>
    <row r="122" spans="2:12" hidden="1">
      <c r="B122" s="435"/>
      <c r="D122" s="440"/>
      <c r="H122" s="2"/>
    </row>
    <row r="123" spans="2:12" hidden="1">
      <c r="B123" s="435"/>
      <c r="D123" s="2">
        <v>17282049.662915736</v>
      </c>
      <c r="H123" s="2"/>
    </row>
    <row r="124" spans="2:12" ht="15.75" hidden="1">
      <c r="B124" s="435"/>
      <c r="D124" s="2">
        <v>1944230.5870780204</v>
      </c>
      <c r="F124" s="545"/>
      <c r="G124" s="545"/>
      <c r="H124" s="546"/>
      <c r="I124" s="546"/>
      <c r="J124" s="546"/>
    </row>
    <row r="125" spans="2:12" hidden="1">
      <c r="B125" s="435"/>
      <c r="D125" s="2"/>
    </row>
    <row r="126" spans="2:12" hidden="1">
      <c r="B126" s="435"/>
      <c r="D126" s="2">
        <v>29849707.556639768</v>
      </c>
    </row>
    <row r="127" spans="2:12" hidden="1">
      <c r="B127" s="435"/>
      <c r="D127" s="2">
        <v>3358092.100121974</v>
      </c>
      <c r="I127" s="353">
        <v>3980474</v>
      </c>
      <c r="K127" t="s">
        <v>185</v>
      </c>
    </row>
    <row r="128" spans="2:12" hidden="1">
      <c r="B128" s="435"/>
      <c r="D128" s="2"/>
    </row>
    <row r="129" spans="2:7" s="491" customFormat="1" hidden="1"/>
    <row r="130" spans="2:7" hidden="1">
      <c r="C130" s="435"/>
      <c r="D130" s="435"/>
      <c r="F130" s="393"/>
      <c r="G130" s="393"/>
    </row>
    <row r="131" spans="2:7" ht="15.75" hidden="1">
      <c r="C131" s="417"/>
      <c r="D131" s="876"/>
    </row>
    <row r="132" spans="2:7" ht="15.75" hidden="1">
      <c r="C132" s="417"/>
      <c r="D132" s="876"/>
    </row>
    <row r="133" spans="2:7" ht="15.75" hidden="1">
      <c r="C133" s="876"/>
      <c r="D133" s="876"/>
    </row>
    <row r="134" spans="2:7" ht="15.75" hidden="1">
      <c r="C134" s="876"/>
      <c r="D134" s="876"/>
    </row>
    <row r="135" spans="2:7" ht="15.75" hidden="1">
      <c r="D135" s="876"/>
    </row>
    <row r="136" spans="2:7" ht="15.75" hidden="1">
      <c r="C136" s="4"/>
      <c r="D136" s="876"/>
    </row>
    <row r="137" spans="2:7" ht="15.75" hidden="1">
      <c r="C137" s="385"/>
      <c r="D137" s="876"/>
    </row>
    <row r="138" spans="2:7" hidden="1"/>
    <row r="139" spans="2:7" s="491" customFormat="1" hidden="1"/>
    <row r="140" spans="2:7" hidden="1"/>
    <row r="141" spans="2:7" hidden="1"/>
    <row r="142" spans="2:7" hidden="1"/>
    <row r="143" spans="2:7" ht="21" hidden="1">
      <c r="B143" s="547" t="s">
        <v>186</v>
      </c>
      <c r="C143" s="2"/>
    </row>
    <row r="144" spans="2:7" hidden="1">
      <c r="C144" s="2"/>
    </row>
    <row r="145" spans="2:4" hidden="1">
      <c r="C145" s="2"/>
    </row>
    <row r="146" spans="2:4" hidden="1">
      <c r="C146" s="2"/>
    </row>
    <row r="147" spans="2:4" hidden="1">
      <c r="B147" s="417" t="s">
        <v>159</v>
      </c>
      <c r="C147" s="661">
        <v>101000000</v>
      </c>
    </row>
    <row r="148" spans="2:4" hidden="1">
      <c r="C148" s="2"/>
    </row>
    <row r="149" spans="2:4" ht="255" hidden="1">
      <c r="B149" s="55" t="s">
        <v>160</v>
      </c>
      <c r="C149" s="2"/>
    </row>
    <row r="150" spans="2:4" hidden="1">
      <c r="B150" s="548" t="s">
        <v>161</v>
      </c>
      <c r="C150" s="2">
        <v>39134960</v>
      </c>
    </row>
    <row r="151" spans="2:4" hidden="1">
      <c r="B151" s="548" t="s">
        <v>162</v>
      </c>
      <c r="C151" s="2">
        <v>29729988</v>
      </c>
    </row>
    <row r="152" spans="2:4" hidden="1">
      <c r="B152" s="548" t="s">
        <v>163</v>
      </c>
      <c r="C152" s="661">
        <v>27000000</v>
      </c>
      <c r="D152" t="s">
        <v>187</v>
      </c>
    </row>
    <row r="153" spans="2:4" hidden="1">
      <c r="B153" s="548" t="s">
        <v>164</v>
      </c>
      <c r="C153" s="2">
        <v>700000</v>
      </c>
    </row>
    <row r="154" spans="2:4" hidden="1">
      <c r="B154" s="548" t="s">
        <v>165</v>
      </c>
      <c r="C154" s="2">
        <v>13000</v>
      </c>
    </row>
    <row r="155" spans="2:4" hidden="1">
      <c r="B155" s="548" t="s">
        <v>166</v>
      </c>
      <c r="C155" s="2">
        <v>4000000</v>
      </c>
    </row>
    <row r="156" spans="2:4" ht="16.5" hidden="1" thickBot="1">
      <c r="B156" s="812" t="s">
        <v>168</v>
      </c>
      <c r="C156" s="813">
        <v>100577948</v>
      </c>
    </row>
    <row r="157" spans="2:4" ht="15.75" hidden="1" thickTop="1">
      <c r="C157" s="2"/>
    </row>
    <row r="158" spans="2:4" hidden="1">
      <c r="B158" t="s">
        <v>170</v>
      </c>
      <c r="C158" s="507">
        <v>1.0041962677544385</v>
      </c>
    </row>
    <row r="159" spans="2:4" hidden="1">
      <c r="C159" s="2"/>
    </row>
    <row r="160" spans="2:4" ht="150" hidden="1">
      <c r="B160" s="54" t="s">
        <v>172</v>
      </c>
      <c r="C160" s="14">
        <v>27000000</v>
      </c>
    </row>
    <row r="161" spans="2:4" hidden="1">
      <c r="C161" s="2"/>
    </row>
    <row r="162" spans="2:4" hidden="1">
      <c r="C162" s="2"/>
      <c r="D162" s="662" t="s">
        <v>188</v>
      </c>
    </row>
    <row r="163" spans="2:4" hidden="1">
      <c r="B163" t="s">
        <v>174</v>
      </c>
      <c r="C163" s="549">
        <v>0.7631</v>
      </c>
      <c r="D163" s="417" t="s">
        <v>175</v>
      </c>
    </row>
    <row r="164" spans="2:4" hidden="1">
      <c r="C164" s="2"/>
    </row>
    <row r="165" spans="2:4" ht="90" hidden="1">
      <c r="B165" s="435" t="s">
        <v>177</v>
      </c>
      <c r="C165" s="550">
        <v>0.1125</v>
      </c>
      <c r="D165" s="551" t="s">
        <v>178</v>
      </c>
    </row>
    <row r="166" spans="2:4" hidden="1">
      <c r="C166" s="2"/>
    </row>
    <row r="167" spans="2:4" ht="180" hidden="1">
      <c r="B167" s="552" t="s">
        <v>180</v>
      </c>
      <c r="C167" s="14">
        <v>3980474</v>
      </c>
      <c r="D167" s="4" t="s">
        <v>181</v>
      </c>
    </row>
    <row r="168" spans="2:4" hidden="1">
      <c r="C168" s="2"/>
    </row>
    <row r="169" spans="2:4" hidden="1">
      <c r="B169" t="s">
        <v>183</v>
      </c>
      <c r="C169" s="2"/>
    </row>
    <row r="170" spans="2:4" hidden="1">
      <c r="B170" t="s">
        <v>184</v>
      </c>
      <c r="C170" s="2"/>
    </row>
    <row r="171" spans="2:4" hidden="1">
      <c r="C171" s="2"/>
    </row>
    <row r="172" spans="2:4" hidden="1">
      <c r="C172" s="440"/>
    </row>
    <row r="173" spans="2:4" hidden="1">
      <c r="C173" s="2">
        <v>20603700</v>
      </c>
    </row>
    <row r="174" spans="2:4" hidden="1">
      <c r="C174" s="2">
        <v>2317916.25</v>
      </c>
    </row>
    <row r="175" spans="2:4" hidden="1">
      <c r="C175" s="2"/>
    </row>
    <row r="176" spans="2:4" hidden="1">
      <c r="C176" s="2"/>
    </row>
    <row r="177" spans="2:17" ht="56.25" hidden="1">
      <c r="C177" s="2"/>
      <c r="D177" s="663" t="s">
        <v>189</v>
      </c>
    </row>
    <row r="178" spans="2:17" hidden="1">
      <c r="C178" s="2"/>
    </row>
    <row r="179" spans="2:17" ht="56.25" hidden="1">
      <c r="C179" s="2"/>
      <c r="D179" s="663" t="s">
        <v>190</v>
      </c>
    </row>
    <row r="180" spans="2:17" hidden="1">
      <c r="C180" s="2"/>
    </row>
    <row r="181" spans="2:17" ht="56.25" hidden="1">
      <c r="C181" s="2"/>
      <c r="D181" s="663" t="s">
        <v>191</v>
      </c>
    </row>
    <row r="182" spans="2:17" hidden="1">
      <c r="C182" s="2"/>
    </row>
    <row r="183" spans="2:17" ht="56.25" hidden="1">
      <c r="C183" s="2"/>
      <c r="D183" s="663" t="s">
        <v>192</v>
      </c>
    </row>
    <row r="184" spans="2:17" hidden="1">
      <c r="C184" s="2"/>
    </row>
    <row r="185" spans="2:17" ht="56.25" hidden="1">
      <c r="C185" s="2"/>
      <c r="D185" s="663" t="s">
        <v>193</v>
      </c>
    </row>
    <row r="187" spans="2:17">
      <c r="B187" s="386" t="s">
        <v>194</v>
      </c>
      <c r="E187" s="413"/>
      <c r="F187" s="413"/>
      <c r="G187" s="386"/>
      <c r="P187" s="565"/>
    </row>
    <row r="188" spans="2:17">
      <c r="B188" s="386"/>
      <c r="D188" s="801" t="s">
        <v>672</v>
      </c>
      <c r="E188" s="802"/>
      <c r="F188" s="802"/>
      <c r="G188" s="801"/>
      <c r="H188" s="801"/>
      <c r="I188" s="801"/>
      <c r="J188" s="801"/>
      <c r="K188" s="801"/>
      <c r="L188" s="801"/>
      <c r="M188" s="801"/>
      <c r="N188" s="801"/>
      <c r="O188" s="801"/>
      <c r="P188" s="802"/>
      <c r="Q188" s="801"/>
    </row>
    <row r="189" spans="2:17">
      <c r="D189" s="803"/>
      <c r="E189" s="801" t="s">
        <v>673</v>
      </c>
      <c r="F189" s="801"/>
      <c r="G189" s="801"/>
      <c r="H189" s="801"/>
      <c r="P189" s="386"/>
    </row>
    <row r="190" spans="2:17">
      <c r="D190" s="801"/>
      <c r="E190" s="801"/>
      <c r="F190" s="801"/>
      <c r="G190" s="801"/>
      <c r="H190" s="801"/>
      <c r="I190" s="801"/>
      <c r="J190" s="801"/>
      <c r="K190" s="801"/>
      <c r="L190" s="801"/>
      <c r="M190" s="801"/>
      <c r="N190" s="801"/>
      <c r="O190" s="801"/>
      <c r="P190" s="801"/>
    </row>
    <row r="191" spans="2:17">
      <c r="D191" s="801"/>
      <c r="E191" s="801"/>
      <c r="F191" s="801"/>
      <c r="G191" s="801"/>
      <c r="H191" s="801"/>
    </row>
    <row r="192" spans="2:17" ht="15.75">
      <c r="B192" s="79"/>
      <c r="D192" s="376"/>
      <c r="G192" s="4"/>
      <c r="H192" s="4"/>
      <c r="I192" s="4"/>
      <c r="J192" s="4"/>
      <c r="K192" s="4"/>
      <c r="L192" s="4"/>
    </row>
    <row r="193" spans="2:12" ht="60">
      <c r="B193" s="377"/>
      <c r="C193" s="378"/>
      <c r="D193" s="378" t="s">
        <v>136</v>
      </c>
      <c r="E193" s="378" t="s">
        <v>137</v>
      </c>
      <c r="F193" s="378"/>
      <c r="G193" s="378" t="s">
        <v>138</v>
      </c>
      <c r="H193" s="378"/>
      <c r="I193" s="378"/>
      <c r="J193" s="378"/>
      <c r="K193" s="379" t="s">
        <v>139</v>
      </c>
      <c r="L193" s="480" t="s">
        <v>139</v>
      </c>
    </row>
    <row r="194" spans="2:12" ht="15.75">
      <c r="B194" s="380" t="s">
        <v>93</v>
      </c>
      <c r="C194" s="881"/>
      <c r="D194" s="323">
        <v>64916.35720477927</v>
      </c>
      <c r="E194" s="882">
        <v>11506.305234606669</v>
      </c>
      <c r="F194" s="882"/>
      <c r="G194" s="882">
        <v>83190.967999999993</v>
      </c>
      <c r="H194" s="562"/>
      <c r="I194" s="882"/>
      <c r="J194" s="881"/>
      <c r="K194" s="392">
        <f>SUM(D194:E194)</f>
        <v>76422.662439385938</v>
      </c>
      <c r="L194" s="392">
        <f>SUM(D194:G194)</f>
        <v>159613.63043938595</v>
      </c>
    </row>
    <row r="195" spans="2:12" ht="15.75">
      <c r="B195" s="380" t="s">
        <v>94</v>
      </c>
      <c r="C195" s="881"/>
      <c r="D195" s="323">
        <v>143836.62914345882</v>
      </c>
      <c r="E195" s="882">
        <v>70179.812468969583</v>
      </c>
      <c r="F195" s="882"/>
      <c r="G195" s="882">
        <v>36666.587</v>
      </c>
      <c r="H195" s="562"/>
      <c r="I195" s="882"/>
      <c r="J195" s="881"/>
      <c r="K195" s="392">
        <f t="shared" ref="K195:K209" si="6">SUM(D195:E195)</f>
        <v>214016.4416124284</v>
      </c>
      <c r="L195" s="392">
        <f t="shared" ref="L195:L212" si="7">SUM(D195:G195)</f>
        <v>250683.0286124284</v>
      </c>
    </row>
    <row r="196" spans="2:12" ht="15.75">
      <c r="B196" s="380" t="s">
        <v>95</v>
      </c>
      <c r="C196" s="881"/>
      <c r="D196" s="323">
        <v>396818.68666014349</v>
      </c>
      <c r="E196" s="882">
        <v>150177.48409556088</v>
      </c>
      <c r="F196" s="882"/>
      <c r="G196" s="882">
        <v>193096.38800000001</v>
      </c>
      <c r="H196" s="562"/>
      <c r="I196" s="882"/>
      <c r="J196" s="881"/>
      <c r="K196" s="392">
        <f t="shared" si="6"/>
        <v>546996.1707557044</v>
      </c>
      <c r="L196" s="392">
        <f t="shared" si="7"/>
        <v>740092.55875570443</v>
      </c>
    </row>
    <row r="197" spans="2:12" ht="15.75">
      <c r="B197" s="380" t="s">
        <v>96</v>
      </c>
      <c r="C197" s="881"/>
      <c r="D197" s="323">
        <v>78078.539819993995</v>
      </c>
      <c r="E197" s="882">
        <v>20126.794134718086</v>
      </c>
      <c r="F197" s="882"/>
      <c r="G197" s="882">
        <v>73431.451000000001</v>
      </c>
      <c r="H197" s="562"/>
      <c r="I197" s="882"/>
      <c r="J197" s="881"/>
      <c r="K197" s="392">
        <f t="shared" si="6"/>
        <v>98205.333954712085</v>
      </c>
      <c r="L197" s="392">
        <f t="shared" si="7"/>
        <v>171636.78495471209</v>
      </c>
    </row>
    <row r="198" spans="2:12" ht="15.75">
      <c r="B198" s="380" t="s">
        <v>97</v>
      </c>
      <c r="C198" s="881"/>
      <c r="D198" s="323">
        <v>85917.350221350905</v>
      </c>
      <c r="E198" s="882">
        <v>46476.587360762889</v>
      </c>
      <c r="F198" s="882"/>
      <c r="G198" s="882">
        <v>4666.3329999999996</v>
      </c>
      <c r="H198" s="562"/>
      <c r="I198" s="882"/>
      <c r="J198" s="881"/>
      <c r="K198" s="392">
        <f t="shared" si="6"/>
        <v>132393.93758211378</v>
      </c>
      <c r="L198" s="392">
        <f t="shared" si="7"/>
        <v>137060.27058211379</v>
      </c>
    </row>
    <row r="199" spans="2:12" ht="15.75">
      <c r="B199" s="380" t="s">
        <v>98</v>
      </c>
      <c r="C199" s="881"/>
      <c r="D199" s="323">
        <v>233754.30364267886</v>
      </c>
      <c r="E199" s="882">
        <v>117177.26173648449</v>
      </c>
      <c r="F199" s="882"/>
      <c r="G199" s="882">
        <v>115298.43699999999</v>
      </c>
      <c r="H199" s="562"/>
      <c r="I199" s="882"/>
      <c r="J199" s="881"/>
      <c r="K199" s="392">
        <f t="shared" si="6"/>
        <v>350931.56537916337</v>
      </c>
      <c r="L199" s="392">
        <f t="shared" si="7"/>
        <v>466230.00237916334</v>
      </c>
    </row>
    <row r="200" spans="2:12" ht="15.75">
      <c r="B200" s="380" t="s">
        <v>99</v>
      </c>
      <c r="C200" s="881"/>
      <c r="D200" s="323">
        <v>611122.38593476231</v>
      </c>
      <c r="E200" s="882">
        <v>92052.293175705825</v>
      </c>
      <c r="F200" s="882"/>
      <c r="G200" s="882">
        <v>598632.80000000005</v>
      </c>
      <c r="H200" s="562"/>
      <c r="I200" s="882"/>
      <c r="J200" s="881"/>
      <c r="K200" s="392">
        <f t="shared" si="6"/>
        <v>703174.67911046813</v>
      </c>
      <c r="L200" s="392">
        <f t="shared" si="7"/>
        <v>1301807.4791104682</v>
      </c>
    </row>
    <row r="201" spans="2:12" ht="15.75">
      <c r="B201" s="380" t="s">
        <v>100</v>
      </c>
      <c r="C201" s="881"/>
      <c r="D201" s="323">
        <v>47400.728850543113</v>
      </c>
      <c r="E201" s="882">
        <v>2763.7921871709555</v>
      </c>
      <c r="F201" s="882"/>
      <c r="G201" s="882">
        <v>5232.9939999999997</v>
      </c>
      <c r="H201" s="562"/>
      <c r="I201" s="882"/>
      <c r="J201" s="881"/>
      <c r="K201" s="392">
        <f t="shared" si="6"/>
        <v>50164.521037714068</v>
      </c>
      <c r="L201" s="392">
        <f t="shared" si="7"/>
        <v>55397.515037714067</v>
      </c>
    </row>
    <row r="202" spans="2:12" ht="15.75">
      <c r="B202" s="380" t="s">
        <v>101</v>
      </c>
      <c r="C202" s="881"/>
      <c r="D202" s="323">
        <v>41922.594796522448</v>
      </c>
      <c r="E202" s="882">
        <v>1969.583115109436</v>
      </c>
      <c r="F202" s="882"/>
      <c r="G202" s="882">
        <v>5578.3369999999995</v>
      </c>
      <c r="H202" s="562"/>
      <c r="I202" s="882"/>
      <c r="J202" s="881"/>
      <c r="K202" s="392">
        <f t="shared" si="6"/>
        <v>43892.177911631887</v>
      </c>
      <c r="L202" s="392">
        <f t="shared" si="7"/>
        <v>49470.514911631886</v>
      </c>
    </row>
    <row r="203" spans="2:12" ht="15.75">
      <c r="B203" s="380" t="s">
        <v>102</v>
      </c>
      <c r="C203" s="881"/>
      <c r="D203" s="323">
        <v>253672.34067409678</v>
      </c>
      <c r="E203" s="882">
        <v>111177.86213526098</v>
      </c>
      <c r="F203" s="882"/>
      <c r="G203" s="882">
        <v>46400.273999999998</v>
      </c>
      <c r="H203" s="562"/>
      <c r="I203" s="882"/>
      <c r="J203" s="881"/>
      <c r="K203" s="392">
        <f t="shared" si="6"/>
        <v>364850.20280935778</v>
      </c>
      <c r="L203" s="392">
        <f t="shared" si="7"/>
        <v>411250.47680935776</v>
      </c>
    </row>
    <row r="204" spans="2:12" ht="15.75">
      <c r="B204" s="380" t="s">
        <v>103</v>
      </c>
      <c r="C204" s="881"/>
      <c r="D204" s="323">
        <v>56669.813482156256</v>
      </c>
      <c r="E204" s="882">
        <v>33156.678552127523</v>
      </c>
      <c r="F204" s="882"/>
      <c r="G204" s="882">
        <v>21439.637999999999</v>
      </c>
      <c r="H204" s="562"/>
      <c r="I204" s="882"/>
      <c r="J204" s="881"/>
      <c r="K204" s="392">
        <f t="shared" si="6"/>
        <v>89826.492034283787</v>
      </c>
      <c r="L204" s="392">
        <f t="shared" si="7"/>
        <v>111266.13003428379</v>
      </c>
    </row>
    <row r="205" spans="2:12" ht="15.75">
      <c r="B205" s="567" t="s">
        <v>104</v>
      </c>
      <c r="C205" s="881"/>
      <c r="D205" s="929">
        <v>253469.82169284101</v>
      </c>
      <c r="E205" s="889">
        <v>123938.83094564122</v>
      </c>
      <c r="F205" s="882"/>
      <c r="G205" s="882">
        <v>559111.875</v>
      </c>
      <c r="H205" s="562"/>
      <c r="I205" s="882"/>
      <c r="J205" s="881"/>
      <c r="K205" s="392">
        <f t="shared" si="6"/>
        <v>377408.65263848222</v>
      </c>
      <c r="L205" s="392">
        <f t="shared" si="7"/>
        <v>936520.52763848216</v>
      </c>
    </row>
    <row r="206" spans="2:12" ht="15.75">
      <c r="B206" s="380" t="s">
        <v>105</v>
      </c>
      <c r="C206" s="881"/>
      <c r="D206" s="323">
        <v>16394.828083499626</v>
      </c>
      <c r="E206" s="882">
        <v>1935.1945708661951</v>
      </c>
      <c r="F206" s="882"/>
      <c r="G206" s="882">
        <v>5400.3970000000008</v>
      </c>
      <c r="H206" s="562"/>
      <c r="I206" s="882"/>
      <c r="J206" s="881"/>
      <c r="K206" s="392">
        <f t="shared" si="6"/>
        <v>18330.022654365821</v>
      </c>
      <c r="L206" s="392">
        <f t="shared" si="7"/>
        <v>23730.419654365822</v>
      </c>
    </row>
    <row r="207" spans="2:12" ht="15.75">
      <c r="B207" s="380" t="s">
        <v>106</v>
      </c>
      <c r="C207" s="881"/>
      <c r="D207" s="323">
        <v>147610.62554003857</v>
      </c>
      <c r="E207" s="882">
        <v>79011.72603682139</v>
      </c>
      <c r="F207" s="882"/>
      <c r="G207" s="882">
        <v>13786.700999999999</v>
      </c>
      <c r="H207" s="562"/>
      <c r="I207" s="882"/>
      <c r="J207" s="881"/>
      <c r="K207" s="392">
        <f t="shared" si="6"/>
        <v>226622.35157685995</v>
      </c>
      <c r="L207" s="392">
        <f t="shared" si="7"/>
        <v>240409.05257685995</v>
      </c>
    </row>
    <row r="208" spans="2:12" ht="15.75">
      <c r="B208" s="380" t="s">
        <v>107</v>
      </c>
      <c r="C208" s="881"/>
      <c r="D208" s="323">
        <v>72064.974068942305</v>
      </c>
      <c r="E208" s="882">
        <v>38735.007407100158</v>
      </c>
      <c r="F208" s="882"/>
      <c r="G208" s="882">
        <v>17554.929</v>
      </c>
      <c r="H208" s="562"/>
      <c r="I208" s="882"/>
      <c r="J208" s="881"/>
      <c r="K208" s="392">
        <f t="shared" si="6"/>
        <v>110799.98147604246</v>
      </c>
      <c r="L208" s="392">
        <f t="shared" si="7"/>
        <v>128354.91047604247</v>
      </c>
    </row>
    <row r="209" spans="1:112" ht="15.75">
      <c r="B209" s="567" t="s">
        <v>108</v>
      </c>
      <c r="C209" s="881"/>
      <c r="D209" s="929">
        <v>1496350.02018419</v>
      </c>
      <c r="E209" s="889">
        <v>99614.786843093883</v>
      </c>
      <c r="F209" s="882"/>
      <c r="G209" s="882">
        <v>2320511.8909999998</v>
      </c>
      <c r="H209" s="562"/>
      <c r="I209" s="882"/>
      <c r="J209" s="881"/>
      <c r="K209" s="392">
        <f t="shared" si="6"/>
        <v>1595964.8070272838</v>
      </c>
      <c r="L209" s="392">
        <f t="shared" si="7"/>
        <v>3916476.6980272839</v>
      </c>
    </row>
    <row r="210" spans="1:112" ht="15.75">
      <c r="B210" s="426"/>
      <c r="C210" s="382"/>
      <c r="D210" s="792"/>
      <c r="F210" s="425"/>
      <c r="G210" s="517"/>
      <c r="H210" s="425"/>
      <c r="I210" s="425"/>
      <c r="J210" s="382"/>
      <c r="K210" s="392"/>
      <c r="L210" s="392"/>
    </row>
    <row r="211" spans="1:112" ht="15.75">
      <c r="B211" s="381"/>
      <c r="C211" s="382"/>
      <c r="D211" s="425"/>
      <c r="F211" s="425"/>
      <c r="G211" s="517"/>
      <c r="H211" s="425"/>
      <c r="I211" s="425"/>
      <c r="J211" s="382"/>
      <c r="K211" s="392"/>
      <c r="L211" s="392"/>
    </row>
    <row r="212" spans="1:112" ht="15.75">
      <c r="B212" s="383" t="s">
        <v>109</v>
      </c>
      <c r="C212" s="384"/>
      <c r="D212" s="384">
        <f>SUM(D194:D209)</f>
        <v>3999999.9999999981</v>
      </c>
      <c r="E212" s="384">
        <f>SUM(E194:E209)</f>
        <v>1000000.0000000002</v>
      </c>
      <c r="F212" s="384"/>
      <c r="G212" s="384">
        <f>SUM(G194:G209)</f>
        <v>4100000</v>
      </c>
      <c r="H212" s="384"/>
      <c r="I212" s="384"/>
      <c r="J212" s="384"/>
      <c r="K212" s="384">
        <f>SUM(D212:E212)</f>
        <v>4999999.9999999981</v>
      </c>
      <c r="L212" s="384">
        <f t="shared" si="7"/>
        <v>9099999.9999999981</v>
      </c>
    </row>
    <row r="213" spans="1:112">
      <c r="B213" s="436" t="s">
        <v>112</v>
      </c>
    </row>
    <row r="215" spans="1:112">
      <c r="B215" s="737"/>
      <c r="C215" s="737" t="s">
        <v>141</v>
      </c>
      <c r="D215" s="737" t="s">
        <v>142</v>
      </c>
      <c r="E215" s="386" t="s">
        <v>143</v>
      </c>
      <c r="F215" s="737"/>
      <c r="G215" s="737"/>
      <c r="H215" s="737"/>
      <c r="I215" s="737"/>
      <c r="J215" s="737"/>
      <c r="K215" s="737"/>
      <c r="L215" s="737"/>
      <c r="M215" s="737"/>
      <c r="N215" s="737"/>
    </row>
    <row r="216" spans="1:112">
      <c r="B216" s="737"/>
      <c r="C216" s="737" t="s">
        <v>141</v>
      </c>
      <c r="D216" s="737" t="s">
        <v>144</v>
      </c>
      <c r="E216" s="417" t="s">
        <v>145</v>
      </c>
      <c r="F216" s="737"/>
      <c r="G216" s="737"/>
      <c r="H216" s="737"/>
      <c r="I216" s="737"/>
      <c r="J216" s="737"/>
      <c r="K216" s="737"/>
      <c r="L216" s="737"/>
      <c r="M216" s="737"/>
      <c r="N216" s="737"/>
    </row>
    <row r="217" spans="1:112">
      <c r="B217" s="737"/>
      <c r="C217" s="737" t="s">
        <v>141</v>
      </c>
      <c r="D217" s="737" t="s">
        <v>146</v>
      </c>
      <c r="E217" s="417" t="s">
        <v>147</v>
      </c>
      <c r="F217" s="737"/>
      <c r="G217" s="737"/>
      <c r="H217" s="737"/>
      <c r="I217" s="737"/>
      <c r="J217" s="737"/>
      <c r="K217" s="737"/>
      <c r="L217" s="737"/>
      <c r="M217" s="737"/>
      <c r="N217" s="737"/>
    </row>
    <row r="219" spans="1:112">
      <c r="C219" s="436"/>
    </row>
    <row r="221" spans="1:112">
      <c r="A221" s="491"/>
      <c r="B221" s="491" t="s">
        <v>148</v>
      </c>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1"/>
      <c r="AY221" s="491"/>
      <c r="AZ221" s="491"/>
      <c r="BA221" s="491"/>
      <c r="BB221" s="491"/>
      <c r="BC221" s="491"/>
      <c r="BD221" s="491"/>
      <c r="BE221" s="491"/>
      <c r="BF221" s="491"/>
      <c r="BG221" s="491"/>
      <c r="BH221" s="491"/>
      <c r="BI221" s="491"/>
      <c r="BJ221" s="491"/>
      <c r="BK221" s="491"/>
      <c r="BL221" s="491"/>
      <c r="BM221" s="491"/>
      <c r="BN221" s="491"/>
      <c r="BO221" s="491"/>
      <c r="BP221" s="491"/>
      <c r="BQ221" s="491"/>
      <c r="BR221" s="491"/>
      <c r="BS221" s="491"/>
      <c r="BT221" s="491"/>
      <c r="BU221" s="491"/>
      <c r="BV221" s="491"/>
      <c r="BW221" s="491"/>
      <c r="BX221" s="491"/>
      <c r="BY221" s="491"/>
      <c r="BZ221" s="491"/>
      <c r="CA221" s="491"/>
      <c r="CB221" s="491"/>
      <c r="CC221" s="491"/>
      <c r="CD221" s="491"/>
      <c r="CE221" s="491"/>
      <c r="CF221" s="491"/>
      <c r="CG221" s="491"/>
      <c r="CH221" s="491"/>
      <c r="CI221" s="491"/>
      <c r="CJ221" s="491"/>
      <c r="CK221" s="491"/>
      <c r="CL221" s="491"/>
      <c r="CM221" s="491"/>
      <c r="CN221" s="491"/>
      <c r="CO221" s="491"/>
      <c r="CP221" s="491"/>
      <c r="CQ221" s="491"/>
      <c r="CR221" s="491"/>
      <c r="CS221" s="491"/>
      <c r="CT221" s="491"/>
      <c r="CU221" s="491"/>
      <c r="CV221" s="491"/>
      <c r="CW221" s="491"/>
      <c r="CX221" s="491"/>
      <c r="CY221" s="491"/>
      <c r="CZ221" s="491"/>
      <c r="DA221" s="491"/>
      <c r="DB221" s="491"/>
      <c r="DC221" s="491"/>
      <c r="DD221" s="491"/>
      <c r="DE221" s="491"/>
      <c r="DF221" s="491"/>
      <c r="DG221" s="491"/>
      <c r="DH221" s="491"/>
    </row>
    <row r="224" spans="1:112">
      <c r="D224" s="353"/>
    </row>
    <row r="225" spans="2:13" ht="15.75" thickBot="1">
      <c r="I225">
        <v>2025</v>
      </c>
    </row>
    <row r="226" spans="2:13" ht="22.5">
      <c r="B226" s="429"/>
      <c r="C226" s="429"/>
      <c r="D226" s="429"/>
      <c r="E226" s="429"/>
      <c r="F226" s="1131" t="s">
        <v>149</v>
      </c>
      <c r="G226" s="1129">
        <v>4000000</v>
      </c>
      <c r="H226" s="508"/>
      <c r="I226" s="1129">
        <v>4000000</v>
      </c>
      <c r="L226" s="2"/>
    </row>
    <row r="227" spans="2:13" ht="23.25" thickBot="1">
      <c r="B227" s="429"/>
      <c r="C227" s="524"/>
      <c r="D227" s="429"/>
      <c r="E227" s="429"/>
      <c r="F227" s="1132"/>
      <c r="G227" s="1130"/>
      <c r="H227" s="509"/>
      <c r="I227" s="1130"/>
      <c r="J227" s="511"/>
      <c r="K227" s="510"/>
      <c r="L227" s="510"/>
    </row>
    <row r="228" spans="2:13" ht="48.75" thickTop="1" thickBot="1">
      <c r="B228" s="429"/>
      <c r="C228" s="525" t="s">
        <v>617</v>
      </c>
      <c r="D228" s="526" t="s">
        <v>351</v>
      </c>
      <c r="E228" s="527" t="s">
        <v>152</v>
      </c>
      <c r="F228" s="528" t="s">
        <v>153</v>
      </c>
      <c r="G228" s="529" t="s">
        <v>195</v>
      </c>
      <c r="H228" s="513"/>
      <c r="I228" s="514"/>
      <c r="J228" s="2"/>
      <c r="K228" s="4"/>
      <c r="L228" s="14"/>
      <c r="M228" s="2"/>
    </row>
    <row r="229" spans="2:13" ht="19.5" thickBot="1">
      <c r="B229" s="530" t="s">
        <v>109</v>
      </c>
      <c r="C229" s="531">
        <v>36592704</v>
      </c>
      <c r="D229" s="927">
        <v>0.17693110090441899</v>
      </c>
      <c r="E229" s="533">
        <v>6516386.7199999997</v>
      </c>
      <c r="F229" s="534">
        <v>1</v>
      </c>
      <c r="G229" s="535">
        <v>4000000</v>
      </c>
      <c r="H229" s="513"/>
      <c r="I229" s="427"/>
    </row>
    <row r="230" spans="2:13" ht="19.5" thickBot="1">
      <c r="B230" s="536" t="s">
        <v>93</v>
      </c>
      <c r="C230" s="531">
        <v>597486</v>
      </c>
      <c r="D230" s="927">
        <v>0.17699999999999999</v>
      </c>
      <c r="E230" s="535">
        <v>105755.022</v>
      </c>
      <c r="F230" s="538">
        <v>1.6229089301194818E-2</v>
      </c>
      <c r="G230" s="535">
        <v>64916.35720477927</v>
      </c>
      <c r="H230" s="513"/>
      <c r="I230" s="561">
        <f>ROUND($I$226*F230,2)</f>
        <v>64916.36</v>
      </c>
      <c r="J230" s="2"/>
      <c r="L230" s="2"/>
      <c r="M230" s="2"/>
    </row>
    <row r="231" spans="2:13" ht="19.5" thickBot="1">
      <c r="B231" s="536" t="s">
        <v>94</v>
      </c>
      <c r="C231" s="531">
        <v>1266615</v>
      </c>
      <c r="D231" s="927">
        <v>0.185</v>
      </c>
      <c r="E231" s="535">
        <v>234323.77499999999</v>
      </c>
      <c r="F231" s="538">
        <v>3.5959157285864705E-2</v>
      </c>
      <c r="G231" s="535">
        <v>143836.62914345882</v>
      </c>
      <c r="H231" s="515"/>
      <c r="I231" s="561">
        <f t="shared" ref="I231:I245" si="8">ROUND($I$226*F231,2)</f>
        <v>143836.63</v>
      </c>
    </row>
    <row r="232" spans="2:13" ht="19.5" thickBot="1">
      <c r="B232" s="536" t="s">
        <v>95</v>
      </c>
      <c r="C232" s="531">
        <v>3315159</v>
      </c>
      <c r="D232" s="927">
        <v>0.19500000000000001</v>
      </c>
      <c r="E232" s="535">
        <v>646456.005</v>
      </c>
      <c r="F232" s="538">
        <v>9.9204671665035868E-2</v>
      </c>
      <c r="G232" s="535">
        <v>396818.68666014349</v>
      </c>
      <c r="H232" s="513"/>
      <c r="I232" s="561">
        <f t="shared" si="8"/>
        <v>396818.69</v>
      </c>
      <c r="J232" s="2"/>
      <c r="L232" s="2"/>
    </row>
    <row r="233" spans="2:13" ht="19.5" thickBot="1">
      <c r="B233" s="536" t="s">
        <v>96</v>
      </c>
      <c r="C233" s="531">
        <v>687554</v>
      </c>
      <c r="D233" s="927">
        <v>0.185</v>
      </c>
      <c r="E233" s="535">
        <v>127197.49</v>
      </c>
      <c r="F233" s="538">
        <v>1.9519634954998498E-2</v>
      </c>
      <c r="G233" s="535">
        <v>78078.539819993995</v>
      </c>
      <c r="H233" s="515"/>
      <c r="I233" s="561">
        <f t="shared" si="8"/>
        <v>78078.539999999994</v>
      </c>
    </row>
    <row r="234" spans="2:13" ht="19.5" thickBot="1">
      <c r="B234" s="536" t="s">
        <v>97</v>
      </c>
      <c r="C234" s="531">
        <v>756582</v>
      </c>
      <c r="D234" s="927">
        <v>0.185</v>
      </c>
      <c r="E234" s="535">
        <v>139967.67000000001</v>
      </c>
      <c r="F234" s="538">
        <v>2.1479337555337725E-2</v>
      </c>
      <c r="G234" s="535">
        <v>85917.350221350905</v>
      </c>
      <c r="H234" s="513"/>
      <c r="I234" s="561">
        <f t="shared" si="8"/>
        <v>85917.35</v>
      </c>
      <c r="J234" s="2"/>
      <c r="L234" s="2"/>
    </row>
    <row r="235" spans="2:13" ht="26.25" thickBot="1">
      <c r="B235" s="536" t="s">
        <v>98</v>
      </c>
      <c r="C235" s="531">
        <v>2115602</v>
      </c>
      <c r="D235" s="927">
        <v>0.18</v>
      </c>
      <c r="E235" s="535">
        <v>380808.36</v>
      </c>
      <c r="F235" s="538">
        <v>5.8438575910669713E-2</v>
      </c>
      <c r="G235" s="535">
        <v>233754.30364267886</v>
      </c>
      <c r="H235" s="515"/>
      <c r="I235" s="561">
        <f t="shared" si="8"/>
        <v>233754.3</v>
      </c>
    </row>
    <row r="236" spans="2:13" ht="19.5" thickBot="1">
      <c r="B236" s="536" t="s">
        <v>99</v>
      </c>
      <c r="C236" s="531">
        <v>5689014</v>
      </c>
      <c r="D236" s="927">
        <v>0.17499999999999999</v>
      </c>
      <c r="E236" s="535">
        <v>995577.45</v>
      </c>
      <c r="F236" s="538">
        <v>0.15278059648369058</v>
      </c>
      <c r="G236" s="535">
        <v>611122.38593476231</v>
      </c>
      <c r="H236" s="513"/>
      <c r="I236" s="561">
        <f t="shared" si="8"/>
        <v>611122.39</v>
      </c>
      <c r="J236" s="2"/>
      <c r="L236" s="2"/>
    </row>
    <row r="237" spans="2:13" ht="19.5" thickBot="1">
      <c r="B237" s="536" t="s">
        <v>100</v>
      </c>
      <c r="C237" s="531">
        <v>406423</v>
      </c>
      <c r="D237" s="927">
        <v>0.19</v>
      </c>
      <c r="E237" s="535">
        <v>77220.37</v>
      </c>
      <c r="F237" s="538">
        <v>1.1850182212635778E-2</v>
      </c>
      <c r="G237" s="535">
        <v>47400.728850543113</v>
      </c>
      <c r="H237" s="515"/>
      <c r="I237" s="561">
        <f t="shared" si="8"/>
        <v>47400.73</v>
      </c>
    </row>
    <row r="238" spans="2:13" ht="19.5" thickBot="1">
      <c r="B238" s="536" t="s">
        <v>101</v>
      </c>
      <c r="C238" s="531">
        <v>346680</v>
      </c>
      <c r="D238" s="927">
        <v>0.19699999999999998</v>
      </c>
      <c r="E238" s="535">
        <v>68295.959999999992</v>
      </c>
      <c r="F238" s="538">
        <v>1.0480648699130611E-2</v>
      </c>
      <c r="G238" s="535">
        <v>41922.594796522448</v>
      </c>
      <c r="H238" s="513"/>
      <c r="I238" s="561">
        <f t="shared" si="8"/>
        <v>41922.589999999997</v>
      </c>
      <c r="J238" s="2"/>
      <c r="L238" s="2"/>
    </row>
    <row r="239" spans="2:13" ht="19.5" thickBot="1">
      <c r="B239" s="536" t="s">
        <v>102</v>
      </c>
      <c r="C239" s="531">
        <v>2334784</v>
      </c>
      <c r="D239" s="927">
        <v>0.17699999999999999</v>
      </c>
      <c r="E239" s="535">
        <v>413256.76799999998</v>
      </c>
      <c r="F239" s="538">
        <v>6.3418085168524194E-2</v>
      </c>
      <c r="G239" s="535">
        <v>253672.34067409678</v>
      </c>
      <c r="H239" s="515"/>
      <c r="I239" s="561">
        <f t="shared" si="8"/>
        <v>253672.34</v>
      </c>
    </row>
    <row r="240" spans="2:13" ht="26.25" thickBot="1">
      <c r="B240" s="536" t="s">
        <v>103</v>
      </c>
      <c r="C240" s="531">
        <v>473439</v>
      </c>
      <c r="D240" s="927">
        <v>0.19500000000000001</v>
      </c>
      <c r="E240" s="535">
        <v>92320.604999999996</v>
      </c>
      <c r="F240" s="538">
        <v>1.4167453370539065E-2</v>
      </c>
      <c r="G240" s="535">
        <v>56669.813482156256</v>
      </c>
      <c r="H240" s="513"/>
      <c r="I240" s="561">
        <f t="shared" si="8"/>
        <v>56669.81</v>
      </c>
      <c r="J240" s="2"/>
      <c r="L240" s="2"/>
    </row>
    <row r="241" spans="2:12" ht="19.5" thickBot="1">
      <c r="B241" s="536" t="s">
        <v>108</v>
      </c>
      <c r="C241" s="531">
        <v>14339405</v>
      </c>
      <c r="D241" s="927">
        <v>0.17</v>
      </c>
      <c r="E241" s="535">
        <v>2437698.85</v>
      </c>
      <c r="F241" s="538">
        <v>0.37408750504604799</v>
      </c>
      <c r="G241" s="535">
        <v>1496350.02018419</v>
      </c>
      <c r="H241" s="515"/>
      <c r="I241" s="561">
        <f t="shared" si="8"/>
        <v>1496350.02</v>
      </c>
    </row>
    <row r="242" spans="2:12" ht="19.5" thickBot="1">
      <c r="B242" s="536" t="s">
        <v>104</v>
      </c>
      <c r="C242" s="531">
        <v>2232037</v>
      </c>
      <c r="D242" s="927">
        <v>0.185</v>
      </c>
      <c r="E242" s="535">
        <v>412926.84499999997</v>
      </c>
      <c r="F242" s="538">
        <v>6.3367455423210359E-2</v>
      </c>
      <c r="G242" s="535">
        <v>253469.82169284101</v>
      </c>
      <c r="H242" s="513"/>
      <c r="I242" s="561">
        <f t="shared" si="8"/>
        <v>253469.82</v>
      </c>
      <c r="J242" s="2"/>
      <c r="L242" s="2"/>
    </row>
    <row r="243" spans="2:12" ht="19.5" thickBot="1">
      <c r="B243" s="536" t="s">
        <v>105</v>
      </c>
      <c r="C243" s="531">
        <v>148382</v>
      </c>
      <c r="D243" s="927">
        <v>0.18</v>
      </c>
      <c r="E243" s="535">
        <v>26708.76</v>
      </c>
      <c r="F243" s="538">
        <v>4.098707020874906E-3</v>
      </c>
      <c r="G243" s="535">
        <v>16394.828083499626</v>
      </c>
      <c r="H243" s="515"/>
      <c r="I243" s="561">
        <f t="shared" si="8"/>
        <v>16394.830000000002</v>
      </c>
    </row>
    <row r="244" spans="2:12" ht="19.5" thickBot="1">
      <c r="B244" s="536" t="s">
        <v>106</v>
      </c>
      <c r="C244" s="531">
        <v>1265642</v>
      </c>
      <c r="D244" s="927">
        <v>0.19</v>
      </c>
      <c r="E244" s="535">
        <v>240471.98</v>
      </c>
      <c r="F244" s="538">
        <v>3.6902656385009641E-2</v>
      </c>
      <c r="G244" s="535">
        <v>147610.62554003857</v>
      </c>
      <c r="H244" s="513"/>
      <c r="I244" s="561">
        <f t="shared" si="8"/>
        <v>147610.63</v>
      </c>
      <c r="J244" s="2"/>
      <c r="L244" s="2"/>
    </row>
    <row r="245" spans="2:12" ht="19.5" thickBot="1">
      <c r="B245" s="539" t="s">
        <v>107</v>
      </c>
      <c r="C245" s="540">
        <v>617899</v>
      </c>
      <c r="D245" s="928">
        <v>0.19</v>
      </c>
      <c r="E245" s="542">
        <v>117400.81</v>
      </c>
      <c r="F245" s="543">
        <v>1.8016243517235575E-2</v>
      </c>
      <c r="G245" s="542">
        <v>72064.974068942305</v>
      </c>
      <c r="H245" s="515"/>
      <c r="I245" s="561">
        <f t="shared" si="8"/>
        <v>72064.97</v>
      </c>
    </row>
    <row r="246" spans="2:12">
      <c r="E246" s="2"/>
      <c r="G246" s="2">
        <f>SUM(G230:G245)</f>
        <v>3999999.9999999986</v>
      </c>
      <c r="H246" s="513"/>
      <c r="I246" s="514"/>
      <c r="J246" s="2"/>
      <c r="L246" s="2"/>
    </row>
    <row r="247" spans="2:12">
      <c r="B247" s="512"/>
      <c r="C247" s="512"/>
      <c r="D247" s="515"/>
      <c r="E247" s="427"/>
      <c r="H247" s="515"/>
      <c r="I247" s="427">
        <f>SUM(I230:I245)</f>
        <v>4000000</v>
      </c>
    </row>
    <row r="248" spans="2:12">
      <c r="B248" s="512"/>
      <c r="C248" s="512"/>
      <c r="D248" s="513"/>
      <c r="E248" s="514"/>
      <c r="F248" s="2"/>
      <c r="H248" s="513"/>
      <c r="I248" s="514"/>
      <c r="J248" s="2"/>
      <c r="L248" s="2"/>
    </row>
    <row r="249" spans="2:12">
      <c r="B249" s="512"/>
      <c r="C249" s="512"/>
      <c r="D249" s="515"/>
      <c r="E249" s="427"/>
      <c r="H249" s="515"/>
      <c r="I249" s="427"/>
    </row>
    <row r="250" spans="2:12">
      <c r="B250" s="512"/>
      <c r="C250" s="512"/>
      <c r="D250" s="513"/>
      <c r="E250" s="514"/>
      <c r="F250" s="2"/>
      <c r="H250" s="513"/>
      <c r="I250" s="514"/>
      <c r="J250" s="2"/>
      <c r="L250" s="2"/>
    </row>
    <row r="251" spans="2:12">
      <c r="B251" s="512"/>
      <c r="C251" s="512"/>
      <c r="D251" s="515"/>
      <c r="E251" s="427"/>
      <c r="H251" s="515"/>
      <c r="I251" s="427"/>
    </row>
    <row r="252" spans="2:12">
      <c r="B252" s="512"/>
      <c r="C252" s="512"/>
      <c r="D252" s="513"/>
      <c r="E252" s="514"/>
      <c r="F252" s="2"/>
      <c r="H252" s="513"/>
      <c r="I252" s="514"/>
      <c r="J252" s="2"/>
      <c r="L252" s="2"/>
    </row>
    <row r="253" spans="2:12" ht="15.75" thickBot="1">
      <c r="B253" s="512"/>
      <c r="C253" s="512"/>
      <c r="D253" s="515"/>
      <c r="E253" s="427"/>
      <c r="H253" s="515"/>
      <c r="I253" s="772">
        <v>2025</v>
      </c>
    </row>
    <row r="254" spans="2:12">
      <c r="B254" s="429"/>
      <c r="C254" s="429"/>
      <c r="D254" s="429"/>
      <c r="E254" s="429"/>
      <c r="F254" s="1131" t="s">
        <v>149</v>
      </c>
      <c r="G254" s="1129">
        <v>1000000</v>
      </c>
      <c r="H254" s="513"/>
      <c r="I254" s="1129">
        <v>1000000</v>
      </c>
      <c r="J254" s="2"/>
      <c r="L254" s="2"/>
    </row>
    <row r="255" spans="2:12" ht="23.25" thickBot="1">
      <c r="B255" s="429"/>
      <c r="C255" s="524"/>
      <c r="D255" s="429"/>
      <c r="E255" s="429"/>
      <c r="F255" s="1132"/>
      <c r="G255" s="1130"/>
      <c r="H255" s="515"/>
      <c r="I255" s="1130"/>
    </row>
    <row r="256" spans="2:12" ht="106.5" thickTop="1" thickBot="1">
      <c r="B256" s="429"/>
      <c r="C256" s="525" t="s">
        <v>618</v>
      </c>
      <c r="D256" s="526" t="s">
        <v>351</v>
      </c>
      <c r="E256" s="527" t="s">
        <v>156</v>
      </c>
      <c r="F256" s="528" t="s">
        <v>153</v>
      </c>
      <c r="G256" s="529" t="s">
        <v>195</v>
      </c>
      <c r="H256" s="513"/>
      <c r="I256" s="514"/>
      <c r="J256" s="2"/>
      <c r="L256" s="2"/>
    </row>
    <row r="257" spans="2:12" ht="19.5" thickBot="1">
      <c r="B257" s="530" t="s">
        <v>109</v>
      </c>
      <c r="C257" s="531">
        <v>8786867</v>
      </c>
      <c r="D257" s="927">
        <v>0.17693110090441899</v>
      </c>
      <c r="E257" s="533">
        <v>1609140.5209999997</v>
      </c>
      <c r="F257" s="534">
        <v>1</v>
      </c>
      <c r="G257" s="535">
        <v>1000000.0000000001</v>
      </c>
      <c r="H257" s="515"/>
      <c r="I257" s="427"/>
    </row>
    <row r="258" spans="2:12" ht="19.5" thickBot="1">
      <c r="B258" s="536" t="s">
        <v>93</v>
      </c>
      <c r="C258" s="531">
        <v>104606</v>
      </c>
      <c r="D258" s="927">
        <v>0.17699999999999999</v>
      </c>
      <c r="E258" s="535">
        <v>18515.261999999999</v>
      </c>
      <c r="F258" s="538">
        <v>1.1506305234606669E-2</v>
      </c>
      <c r="G258" s="535">
        <v>11506.305234606669</v>
      </c>
      <c r="H258" s="513"/>
      <c r="I258" s="561">
        <f>ROUND($I$254*F258,2)</f>
        <v>11506.31</v>
      </c>
      <c r="J258" s="2"/>
      <c r="L258" s="2"/>
    </row>
    <row r="259" spans="2:12" ht="19.5" thickBot="1">
      <c r="B259" s="536" t="s">
        <v>94</v>
      </c>
      <c r="C259" s="531">
        <v>610428</v>
      </c>
      <c r="D259" s="927">
        <v>0.185</v>
      </c>
      <c r="E259" s="535">
        <v>112929.18</v>
      </c>
      <c r="F259" s="538">
        <v>7.017981246896958E-2</v>
      </c>
      <c r="G259" s="535">
        <v>70179.812468969583</v>
      </c>
      <c r="H259" s="515"/>
      <c r="I259" s="561">
        <f t="shared" ref="I259:I273" si="9">ROUND($I$254*F259,2)</f>
        <v>70179.81</v>
      </c>
    </row>
    <row r="260" spans="2:12" ht="19.5" thickBot="1">
      <c r="B260" s="536" t="s">
        <v>95</v>
      </c>
      <c r="C260" s="531">
        <v>1239265</v>
      </c>
      <c r="D260" s="927">
        <v>0.19500000000000001</v>
      </c>
      <c r="E260" s="535">
        <v>241656.67500000002</v>
      </c>
      <c r="F260" s="538">
        <v>0.15017748409556089</v>
      </c>
      <c r="G260" s="535">
        <v>150177.48409556088</v>
      </c>
      <c r="H260" s="513"/>
      <c r="I260" s="561">
        <f t="shared" si="9"/>
        <v>150177.48000000001</v>
      </c>
      <c r="J260" s="2"/>
      <c r="L260" s="2"/>
    </row>
    <row r="261" spans="2:12" ht="19.5" thickBot="1">
      <c r="B261" s="536" t="s">
        <v>96</v>
      </c>
      <c r="C261" s="531">
        <v>175064</v>
      </c>
      <c r="D261" s="927">
        <v>0.185</v>
      </c>
      <c r="E261" s="535">
        <v>32386.84</v>
      </c>
      <c r="F261" s="538">
        <v>2.0126794134718087E-2</v>
      </c>
      <c r="G261" s="535">
        <v>20126.794134718086</v>
      </c>
      <c r="H261" s="515"/>
      <c r="I261" s="561">
        <f t="shared" si="9"/>
        <v>20126.79</v>
      </c>
    </row>
    <row r="262" spans="2:12" ht="19.5" thickBot="1">
      <c r="B262" s="536" t="s">
        <v>97</v>
      </c>
      <c r="C262" s="531">
        <v>404256</v>
      </c>
      <c r="D262" s="927">
        <v>0.185</v>
      </c>
      <c r="E262" s="535">
        <v>74787.360000000001</v>
      </c>
      <c r="F262" s="538">
        <v>4.6476587360762892E-2</v>
      </c>
      <c r="G262" s="535">
        <v>46476.587360762889</v>
      </c>
      <c r="I262" s="561">
        <f t="shared" si="9"/>
        <v>46476.59</v>
      </c>
    </row>
    <row r="263" spans="2:12" ht="26.25" thickBot="1">
      <c r="B263" s="536" t="s">
        <v>98</v>
      </c>
      <c r="C263" s="531">
        <v>1047526</v>
      </c>
      <c r="D263" s="927">
        <v>0.18</v>
      </c>
      <c r="E263" s="535">
        <v>188554.68</v>
      </c>
      <c r="F263" s="538">
        <v>0.11717726173648449</v>
      </c>
      <c r="G263" s="535">
        <v>117177.26173648449</v>
      </c>
      <c r="I263" s="561">
        <f t="shared" si="9"/>
        <v>117177.26</v>
      </c>
    </row>
    <row r="264" spans="2:12" ht="19.5" thickBot="1">
      <c r="B264" s="536" t="s">
        <v>99</v>
      </c>
      <c r="C264" s="531">
        <v>846429</v>
      </c>
      <c r="D264" s="927">
        <v>0.17499999999999999</v>
      </c>
      <c r="E264" s="535">
        <v>148125.07499999998</v>
      </c>
      <c r="F264" s="538">
        <v>9.2052293175705818E-2</v>
      </c>
      <c r="G264" s="535">
        <v>92052.293175705825</v>
      </c>
      <c r="I264" s="561">
        <f t="shared" si="9"/>
        <v>92052.29</v>
      </c>
    </row>
    <row r="265" spans="2:12" ht="19.5" thickBot="1">
      <c r="B265" s="536" t="s">
        <v>100</v>
      </c>
      <c r="C265" s="531">
        <v>23407</v>
      </c>
      <c r="D265" s="927">
        <v>0.19</v>
      </c>
      <c r="E265" s="535">
        <v>4447.33</v>
      </c>
      <c r="F265" s="538">
        <v>2.7637921871709555E-3</v>
      </c>
      <c r="G265" s="535">
        <v>2763.7921871709555</v>
      </c>
      <c r="I265" s="561">
        <f t="shared" si="9"/>
        <v>2763.79</v>
      </c>
    </row>
    <row r="266" spans="2:12" ht="19.5" thickBot="1">
      <c r="B266" s="536" t="s">
        <v>101</v>
      </c>
      <c r="C266" s="531">
        <v>16088</v>
      </c>
      <c r="D266" s="927">
        <v>0.19699999999999998</v>
      </c>
      <c r="E266" s="535">
        <v>3169.3359999999998</v>
      </c>
      <c r="F266" s="538">
        <v>1.9695831151094359E-3</v>
      </c>
      <c r="G266" s="535">
        <v>1969.583115109436</v>
      </c>
      <c r="I266" s="561">
        <f t="shared" si="9"/>
        <v>1969.58</v>
      </c>
    </row>
    <row r="267" spans="2:12" ht="23.25" thickBot="1">
      <c r="B267" s="536" t="s">
        <v>102</v>
      </c>
      <c r="C267" s="531">
        <v>1010739</v>
      </c>
      <c r="D267" s="927">
        <v>0.17699999999999999</v>
      </c>
      <c r="E267" s="535">
        <v>178900.80299999999</v>
      </c>
      <c r="F267" s="538">
        <v>0.11117786213526097</v>
      </c>
      <c r="G267" s="535">
        <v>111177.86213526098</v>
      </c>
      <c r="H267" s="508"/>
      <c r="I267" s="561">
        <f t="shared" si="9"/>
        <v>111177.86</v>
      </c>
    </row>
    <row r="268" spans="2:12" ht="26.25" thickBot="1">
      <c r="B268" s="536" t="s">
        <v>103</v>
      </c>
      <c r="C268" s="531">
        <v>273609</v>
      </c>
      <c r="D268" s="927">
        <v>0.19500000000000001</v>
      </c>
      <c r="E268" s="535">
        <v>53353.755000000005</v>
      </c>
      <c r="F268" s="538">
        <v>3.3156678552127526E-2</v>
      </c>
      <c r="G268" s="535">
        <v>33156.678552127523</v>
      </c>
      <c r="H268" s="509"/>
      <c r="I268" s="561">
        <f t="shared" si="9"/>
        <v>33156.68</v>
      </c>
      <c r="J268" s="511"/>
      <c r="K268" s="510"/>
    </row>
    <row r="269" spans="2:12" ht="19.5" thickBot="1">
      <c r="B269" s="536" t="s">
        <v>108</v>
      </c>
      <c r="C269" s="531">
        <v>942907</v>
      </c>
      <c r="D269" s="927">
        <v>0.17</v>
      </c>
      <c r="E269" s="535">
        <v>160294.19</v>
      </c>
      <c r="F269" s="538">
        <v>9.9614786843093883E-2</v>
      </c>
      <c r="G269" s="535">
        <v>99614.786843093883</v>
      </c>
      <c r="H269" s="513"/>
      <c r="I269" s="561">
        <f t="shared" si="9"/>
        <v>99614.79</v>
      </c>
      <c r="J269" s="2"/>
      <c r="K269" s="4"/>
    </row>
    <row r="270" spans="2:12" ht="19.5" thickBot="1">
      <c r="B270" s="536" t="s">
        <v>104</v>
      </c>
      <c r="C270" s="531">
        <v>1078027</v>
      </c>
      <c r="D270" s="927">
        <v>0.185</v>
      </c>
      <c r="E270" s="535">
        <v>199434.995</v>
      </c>
      <c r="F270" s="538">
        <v>0.12393883094564122</v>
      </c>
      <c r="G270" s="535">
        <v>123938.83094564122</v>
      </c>
      <c r="H270" s="513"/>
      <c r="I270" s="561">
        <f t="shared" si="9"/>
        <v>123938.83</v>
      </c>
    </row>
    <row r="271" spans="2:12" ht="19.5" thickBot="1">
      <c r="B271" s="536" t="s">
        <v>105</v>
      </c>
      <c r="C271" s="531">
        <v>17300</v>
      </c>
      <c r="D271" s="927">
        <v>0.18</v>
      </c>
      <c r="E271" s="535">
        <v>3114</v>
      </c>
      <c r="F271" s="538">
        <v>1.9351945708661951E-3</v>
      </c>
      <c r="G271" s="535">
        <v>1935.1945708661951</v>
      </c>
      <c r="H271" s="513"/>
      <c r="I271" s="561">
        <f t="shared" si="9"/>
        <v>1935.19</v>
      </c>
      <c r="J271" s="2"/>
    </row>
    <row r="272" spans="2:12" ht="19.5" thickBot="1">
      <c r="B272" s="536" t="s">
        <v>106</v>
      </c>
      <c r="C272" s="531">
        <v>669163</v>
      </c>
      <c r="D272" s="927">
        <v>0.19</v>
      </c>
      <c r="E272" s="535">
        <v>127140.97</v>
      </c>
      <c r="F272" s="538">
        <v>7.9011726036821384E-2</v>
      </c>
      <c r="G272" s="535">
        <v>79011.72603682139</v>
      </c>
      <c r="H272" s="515"/>
      <c r="I272" s="561">
        <f t="shared" si="9"/>
        <v>79011.73</v>
      </c>
    </row>
    <row r="273" spans="2:12" ht="19.5" thickBot="1">
      <c r="B273" s="539" t="s">
        <v>107</v>
      </c>
      <c r="C273" s="540">
        <v>328053</v>
      </c>
      <c r="D273" s="928">
        <v>0.19</v>
      </c>
      <c r="E273" s="542">
        <v>62330.07</v>
      </c>
      <c r="F273" s="543">
        <v>3.8735007407100161E-2</v>
      </c>
      <c r="G273" s="542">
        <v>38735.007407100158</v>
      </c>
      <c r="H273" s="513"/>
      <c r="I273" s="561">
        <f t="shared" si="9"/>
        <v>38735.01</v>
      </c>
      <c r="J273" s="2"/>
    </row>
    <row r="274" spans="2:12">
      <c r="H274" s="515"/>
      <c r="I274" s="427"/>
    </row>
    <row r="275" spans="2:12">
      <c r="B275" s="512"/>
      <c r="C275" s="512"/>
      <c r="D275" s="513"/>
      <c r="E275" s="514"/>
      <c r="F275" s="2"/>
      <c r="H275" s="513"/>
      <c r="I275" s="427">
        <f>SUM(I258:I273)</f>
        <v>999999.99</v>
      </c>
      <c r="J275" s="2"/>
      <c r="L275" s="2"/>
    </row>
    <row r="276" spans="2:12">
      <c r="B276" s="512"/>
      <c r="C276" s="512"/>
      <c r="D276" s="515"/>
      <c r="E276" s="427"/>
      <c r="H276" s="515"/>
      <c r="I276" s="427"/>
    </row>
    <row r="277" spans="2:12">
      <c r="B277" s="512"/>
      <c r="C277" s="512"/>
      <c r="D277" s="513"/>
      <c r="E277" s="514"/>
      <c r="F277" s="2"/>
      <c r="H277" s="513"/>
      <c r="I277" s="514"/>
      <c r="J277" s="2"/>
      <c r="L277" s="2"/>
    </row>
    <row r="278" spans="2:12" ht="15" customHeight="1">
      <c r="B278" s="1133" t="s">
        <v>196</v>
      </c>
      <c r="C278" s="1133"/>
      <c r="D278" s="1133"/>
      <c r="E278" s="1133"/>
      <c r="H278" s="515"/>
      <c r="I278" s="427"/>
    </row>
    <row r="279" spans="2:12" ht="17.25" customHeight="1">
      <c r="B279" s="512"/>
      <c r="C279" s="512"/>
      <c r="D279" s="513"/>
      <c r="E279" s="514"/>
      <c r="F279" s="2"/>
      <c r="H279" s="513"/>
      <c r="I279" s="514"/>
      <c r="J279" s="2"/>
      <c r="L279" s="2"/>
    </row>
    <row r="280" spans="2:12" ht="21" hidden="1">
      <c r="B280" s="435"/>
      <c r="C280" s="547" t="s">
        <v>157</v>
      </c>
      <c r="D280" s="2"/>
      <c r="H280" s="515"/>
      <c r="I280" s="427"/>
    </row>
    <row r="281" spans="2:12" hidden="1">
      <c r="B281" s="435"/>
      <c r="D281" s="2"/>
      <c r="F281" s="2"/>
      <c r="H281" s="513"/>
      <c r="I281" s="514"/>
      <c r="J281" s="2"/>
      <c r="L281" s="2"/>
    </row>
    <row r="282" spans="2:12" ht="15.75" hidden="1" thickBot="1">
      <c r="B282" s="435"/>
      <c r="D282" s="2"/>
      <c r="H282" s="515"/>
      <c r="I282" s="513">
        <v>2024</v>
      </c>
    </row>
    <row r="283" spans="2:12" hidden="1">
      <c r="B283" s="435"/>
      <c r="D283" s="2"/>
      <c r="F283" s="2"/>
      <c r="I283" s="1129">
        <v>100000000</v>
      </c>
      <c r="J283" s="2"/>
      <c r="L283" s="2"/>
    </row>
    <row r="284" spans="2:12" ht="15.75" hidden="1" thickBot="1">
      <c r="B284" s="435" t="s">
        <v>158</v>
      </c>
      <c r="C284" s="417" t="s">
        <v>159</v>
      </c>
      <c r="D284" s="2">
        <v>96000000</v>
      </c>
      <c r="H284" s="386"/>
      <c r="I284" s="1130"/>
    </row>
    <row r="285" spans="2:12" ht="15.75" hidden="1">
      <c r="B285" s="435"/>
      <c r="D285" s="2"/>
      <c r="F285" s="2"/>
      <c r="H285" s="544"/>
      <c r="I285" s="514"/>
      <c r="J285" s="497"/>
      <c r="L285" s="2"/>
    </row>
    <row r="286" spans="2:12" ht="180" hidden="1">
      <c r="B286" s="435"/>
      <c r="C286" s="55" t="s">
        <v>160</v>
      </c>
      <c r="D286" s="2"/>
      <c r="H286" s="515"/>
      <c r="I286" s="427"/>
    </row>
    <row r="287" spans="2:12" hidden="1">
      <c r="B287" s="435"/>
      <c r="C287" s="548" t="s">
        <v>161</v>
      </c>
      <c r="D287" s="2">
        <v>39134960</v>
      </c>
      <c r="F287" s="2"/>
      <c r="H287" s="513"/>
      <c r="I287" s="514"/>
      <c r="J287" s="2"/>
      <c r="L287" s="2"/>
    </row>
    <row r="288" spans="2:12" hidden="1">
      <c r="B288" s="435"/>
      <c r="C288" s="548" t="s">
        <v>162</v>
      </c>
      <c r="D288" s="2">
        <v>29729988</v>
      </c>
      <c r="H288" s="515"/>
      <c r="I288" s="427"/>
    </row>
    <row r="289" spans="2:12" hidden="1">
      <c r="B289" s="435"/>
      <c r="C289" s="548" t="s">
        <v>163</v>
      </c>
      <c r="D289" s="2">
        <v>22802700</v>
      </c>
      <c r="F289" s="2"/>
      <c r="H289" s="513"/>
      <c r="I289" s="514"/>
      <c r="J289" s="2"/>
      <c r="L289" s="2"/>
    </row>
    <row r="290" spans="2:12" hidden="1">
      <c r="B290" s="435"/>
      <c r="C290" s="548" t="s">
        <v>164</v>
      </c>
      <c r="D290" s="2">
        <v>700000</v>
      </c>
      <c r="H290" s="515"/>
      <c r="I290" s="427"/>
    </row>
    <row r="291" spans="2:12" hidden="1">
      <c r="B291" s="435"/>
      <c r="C291" s="548" t="s">
        <v>165</v>
      </c>
      <c r="D291" s="2">
        <v>13000</v>
      </c>
      <c r="F291" s="2"/>
      <c r="H291" s="513"/>
      <c r="I291" s="514"/>
      <c r="J291" s="2"/>
      <c r="L291" s="2"/>
    </row>
    <row r="292" spans="2:12" hidden="1">
      <c r="B292" s="435"/>
      <c r="C292" s="548" t="s">
        <v>166</v>
      </c>
      <c r="D292" s="2">
        <v>4000000</v>
      </c>
      <c r="H292" s="515"/>
      <c r="I292" s="427"/>
    </row>
    <row r="293" spans="2:12" ht="16.5" hidden="1" thickBot="1">
      <c r="B293" s="435" t="s">
        <v>167</v>
      </c>
      <c r="C293" s="812" t="s">
        <v>168</v>
      </c>
      <c r="D293" s="813">
        <v>96380648</v>
      </c>
      <c r="F293" s="2"/>
      <c r="H293" s="513"/>
      <c r="I293" s="514"/>
      <c r="J293" s="2"/>
      <c r="L293" s="2"/>
    </row>
    <row r="294" spans="2:12" ht="15.75" hidden="1" thickTop="1">
      <c r="B294" s="435"/>
      <c r="D294" s="2"/>
      <c r="H294" s="515"/>
      <c r="I294" s="427"/>
    </row>
    <row r="295" spans="2:12" hidden="1">
      <c r="B295" s="435" t="s">
        <v>169</v>
      </c>
      <c r="C295" t="s">
        <v>170</v>
      </c>
      <c r="D295" s="507">
        <v>0.99605057646012096</v>
      </c>
      <c r="F295" s="2"/>
      <c r="H295" s="513"/>
      <c r="I295" s="514"/>
      <c r="J295" s="2"/>
      <c r="L295" s="2"/>
    </row>
    <row r="296" spans="2:12" hidden="1">
      <c r="B296" s="435"/>
      <c r="D296" s="2"/>
      <c r="H296" s="515"/>
      <c r="I296" s="427"/>
    </row>
    <row r="297" spans="2:12" ht="120" hidden="1">
      <c r="B297" s="435" t="s">
        <v>171</v>
      </c>
      <c r="C297" s="54" t="s">
        <v>172</v>
      </c>
      <c r="D297" s="14">
        <v>22712642.4798472</v>
      </c>
      <c r="F297" s="2"/>
      <c r="H297" s="544"/>
      <c r="I297" s="514"/>
      <c r="J297" s="497"/>
      <c r="L297" s="2"/>
    </row>
    <row r="298" spans="2:12" hidden="1">
      <c r="B298" s="435"/>
      <c r="D298" s="2"/>
      <c r="H298" s="515"/>
      <c r="I298" s="427"/>
    </row>
    <row r="299" spans="2:12" hidden="1">
      <c r="B299" s="435"/>
      <c r="D299" s="2"/>
      <c r="F299" s="2"/>
      <c r="H299" s="513"/>
      <c r="I299" s="514"/>
      <c r="J299" s="2"/>
      <c r="L299" s="2"/>
    </row>
    <row r="300" spans="2:12" hidden="1">
      <c r="B300" s="435" t="s">
        <v>173</v>
      </c>
      <c r="C300" t="s">
        <v>174</v>
      </c>
      <c r="D300" s="549">
        <v>0.76090000000000002</v>
      </c>
      <c r="E300" s="417" t="s">
        <v>175</v>
      </c>
      <c r="H300" s="515"/>
      <c r="I300" s="427"/>
    </row>
    <row r="301" spans="2:12" hidden="1">
      <c r="B301" s="435"/>
      <c r="D301" s="2"/>
      <c r="F301" s="2"/>
      <c r="H301" s="513"/>
      <c r="I301" s="514"/>
      <c r="J301" s="2"/>
      <c r="L301" s="2"/>
    </row>
    <row r="302" spans="2:12" ht="90" hidden="1">
      <c r="B302" s="435" t="s">
        <v>176</v>
      </c>
      <c r="C302" s="435" t="s">
        <v>177</v>
      </c>
      <c r="D302" s="550">
        <v>0.1125</v>
      </c>
      <c r="E302" s="551" t="s">
        <v>178</v>
      </c>
      <c r="H302" s="515"/>
      <c r="I302" s="427"/>
    </row>
    <row r="303" spans="2:12" hidden="1">
      <c r="B303" s="435"/>
      <c r="D303" s="2"/>
    </row>
    <row r="304" spans="2:12" ht="135" hidden="1">
      <c r="B304" s="435" t="s">
        <v>179</v>
      </c>
      <c r="C304" s="552" t="s">
        <v>180</v>
      </c>
      <c r="D304" s="14">
        <v>3358092</v>
      </c>
      <c r="E304" s="4" t="s">
        <v>181</v>
      </c>
    </row>
    <row r="305" spans="1:112" hidden="1">
      <c r="B305" s="435"/>
      <c r="D305" s="2"/>
      <c r="H305" s="2"/>
    </row>
    <row r="306" spans="1:112" hidden="1">
      <c r="B306" s="435" t="s">
        <v>182</v>
      </c>
      <c r="C306" t="s">
        <v>183</v>
      </c>
      <c r="D306" s="2"/>
      <c r="H306" s="2"/>
    </row>
    <row r="307" spans="1:112" ht="15.75" hidden="1">
      <c r="B307" s="435"/>
      <c r="C307" t="s">
        <v>184</v>
      </c>
      <c r="D307" s="2"/>
      <c r="F307" s="545"/>
      <c r="G307" s="545"/>
      <c r="H307" s="546"/>
    </row>
    <row r="308" spans="1:112" hidden="1">
      <c r="B308" s="435"/>
      <c r="D308" s="2"/>
    </row>
    <row r="309" spans="1:112" hidden="1">
      <c r="B309" s="435"/>
      <c r="D309" s="440"/>
      <c r="H309" s="2"/>
    </row>
    <row r="310" spans="1:112" hidden="1">
      <c r="B310" s="435"/>
      <c r="D310" s="2">
        <v>17282049.662915736</v>
      </c>
      <c r="H310" s="2"/>
    </row>
    <row r="311" spans="1:112" ht="15.75" hidden="1">
      <c r="B311" s="435"/>
      <c r="D311" s="2">
        <v>1944230.5870780204</v>
      </c>
      <c r="F311" s="545"/>
      <c r="G311" s="545"/>
      <c r="H311" s="546"/>
      <c r="I311" s="546"/>
      <c r="J311" s="546"/>
    </row>
    <row r="312" spans="1:112" hidden="1">
      <c r="B312" s="435"/>
      <c r="D312" s="2"/>
    </row>
    <row r="313" spans="1:112" hidden="1">
      <c r="B313" s="435"/>
      <c r="D313" s="2">
        <v>29849707.556639768</v>
      </c>
    </row>
    <row r="314" spans="1:112" hidden="1">
      <c r="B314" s="435"/>
      <c r="D314" s="2">
        <v>3358092.100121974</v>
      </c>
      <c r="I314" s="353">
        <v>3980474</v>
      </c>
      <c r="K314" t="s">
        <v>185</v>
      </c>
    </row>
    <row r="315" spans="1:112" hidden="1">
      <c r="B315" s="435"/>
      <c r="D315" s="2"/>
    </row>
    <row r="316" spans="1:112" hidden="1">
      <c r="A316" s="491"/>
      <c r="B316" s="49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1"/>
      <c r="AJ316" s="491"/>
      <c r="AK316" s="491"/>
      <c r="AL316" s="491"/>
      <c r="AM316" s="491"/>
      <c r="AN316" s="491"/>
      <c r="AO316" s="491"/>
      <c r="AP316" s="491"/>
      <c r="AQ316" s="491"/>
      <c r="AR316" s="491"/>
      <c r="AS316" s="491"/>
      <c r="AT316" s="491"/>
      <c r="AU316" s="491"/>
      <c r="AV316" s="491"/>
      <c r="AW316" s="491"/>
      <c r="AX316" s="491"/>
      <c r="AY316" s="491"/>
      <c r="AZ316" s="491"/>
      <c r="BA316" s="491"/>
      <c r="BB316" s="491"/>
      <c r="BC316" s="491"/>
      <c r="BD316" s="491"/>
      <c r="BE316" s="491"/>
      <c r="BF316" s="491"/>
      <c r="BG316" s="491"/>
      <c r="BH316" s="491"/>
      <c r="BI316" s="491"/>
      <c r="BJ316" s="491"/>
      <c r="BK316" s="491"/>
      <c r="BL316" s="491"/>
      <c r="BM316" s="491"/>
      <c r="BN316" s="491"/>
      <c r="BO316" s="491"/>
      <c r="BP316" s="491"/>
      <c r="BQ316" s="491"/>
      <c r="BR316" s="491"/>
      <c r="BS316" s="491"/>
      <c r="BT316" s="491"/>
      <c r="BU316" s="491"/>
      <c r="BV316" s="491"/>
      <c r="BW316" s="491"/>
      <c r="BX316" s="491"/>
      <c r="BY316" s="491"/>
      <c r="BZ316" s="491"/>
      <c r="CA316" s="491"/>
      <c r="CB316" s="491"/>
      <c r="CC316" s="491"/>
      <c r="CD316" s="491"/>
      <c r="CE316" s="491"/>
      <c r="CF316" s="491"/>
      <c r="CG316" s="491"/>
      <c r="CH316" s="491"/>
      <c r="CI316" s="491"/>
      <c r="CJ316" s="491"/>
      <c r="CK316" s="491"/>
      <c r="CL316" s="491"/>
      <c r="CM316" s="491"/>
      <c r="CN316" s="491"/>
      <c r="CO316" s="491"/>
      <c r="CP316" s="491"/>
      <c r="CQ316" s="491"/>
      <c r="CR316" s="491"/>
      <c r="CS316" s="491"/>
      <c r="CT316" s="491"/>
      <c r="CU316" s="491"/>
      <c r="CV316" s="491"/>
      <c r="CW316" s="491"/>
      <c r="CX316" s="491"/>
      <c r="CY316" s="491"/>
      <c r="CZ316" s="491"/>
      <c r="DA316" s="491"/>
      <c r="DB316" s="491"/>
      <c r="DC316" s="491"/>
      <c r="DD316" s="491"/>
      <c r="DE316" s="491"/>
      <c r="DF316" s="491"/>
      <c r="DG316" s="491"/>
      <c r="DH316" s="491"/>
    </row>
    <row r="317" spans="1:112" hidden="1">
      <c r="C317" s="435"/>
      <c r="D317" s="435"/>
      <c r="F317" s="393"/>
      <c r="G317" s="393"/>
    </row>
    <row r="318" spans="1:112" ht="15.75" hidden="1">
      <c r="C318" s="417"/>
      <c r="D318" s="876"/>
    </row>
    <row r="319" spans="1:112" ht="15.75" hidden="1">
      <c r="C319" s="417"/>
      <c r="D319" s="876"/>
    </row>
    <row r="320" spans="1:112" ht="15.75" hidden="1">
      <c r="C320" s="876"/>
      <c r="D320" s="876"/>
    </row>
    <row r="321" spans="1:112" ht="15.75" hidden="1">
      <c r="C321" s="876"/>
      <c r="D321" s="876"/>
    </row>
    <row r="322" spans="1:112" ht="19.5" customHeight="1">
      <c r="D322" s="876"/>
    </row>
    <row r="323" spans="1:112" ht="15.75">
      <c r="B323" s="794" t="s">
        <v>197</v>
      </c>
      <c r="C323" s="795"/>
      <c r="D323" s="890"/>
      <c r="E323" s="794"/>
    </row>
    <row r="324" spans="1:112" ht="15.75">
      <c r="C324" s="385"/>
      <c r="D324" s="876"/>
    </row>
    <row r="325" spans="1:112" hidden="1"/>
    <row r="326" spans="1:112" hidden="1">
      <c r="A326" s="491"/>
      <c r="B326" s="491"/>
      <c r="C326" s="491"/>
      <c r="D326" s="491"/>
      <c r="E326" s="491"/>
      <c r="F326" s="491"/>
      <c r="G326" s="491"/>
      <c r="H326" s="491"/>
      <c r="I326" s="491"/>
      <c r="J326" s="491"/>
      <c r="K326" s="491"/>
      <c r="L326" s="491"/>
      <c r="M326" s="491"/>
      <c r="N326" s="491"/>
      <c r="O326" s="491"/>
      <c r="P326" s="491"/>
      <c r="Q326" s="491"/>
      <c r="R326" s="491"/>
      <c r="S326" s="491"/>
      <c r="T326" s="491"/>
      <c r="U326" s="491"/>
      <c r="V326" s="491"/>
      <c r="W326" s="491"/>
      <c r="X326" s="491"/>
      <c r="Y326" s="491"/>
      <c r="Z326" s="491"/>
      <c r="AA326" s="491"/>
      <c r="AB326" s="491"/>
      <c r="AC326" s="491"/>
      <c r="AD326" s="491"/>
      <c r="AE326" s="491"/>
      <c r="AF326" s="491"/>
      <c r="AG326" s="491"/>
      <c r="AH326" s="491"/>
      <c r="AI326" s="491"/>
      <c r="AJ326" s="491"/>
      <c r="AK326" s="491"/>
      <c r="AL326" s="491"/>
      <c r="AM326" s="491"/>
      <c r="AN326" s="491"/>
      <c r="AO326" s="491"/>
      <c r="AP326" s="491"/>
      <c r="AQ326" s="491"/>
      <c r="AR326" s="491"/>
      <c r="AS326" s="491"/>
      <c r="AT326" s="491"/>
      <c r="AU326" s="491"/>
      <c r="AV326" s="491"/>
      <c r="AW326" s="491"/>
      <c r="AX326" s="491"/>
      <c r="AY326" s="491"/>
      <c r="AZ326" s="491"/>
      <c r="BA326" s="491"/>
      <c r="BB326" s="491"/>
      <c r="BC326" s="491"/>
      <c r="BD326" s="491"/>
      <c r="BE326" s="491"/>
      <c r="BF326" s="491"/>
      <c r="BG326" s="491"/>
      <c r="BH326" s="491"/>
      <c r="BI326" s="491"/>
      <c r="BJ326" s="491"/>
      <c r="BK326" s="491"/>
      <c r="BL326" s="491"/>
      <c r="BM326" s="491"/>
      <c r="BN326" s="491"/>
      <c r="BO326" s="491"/>
      <c r="BP326" s="491"/>
      <c r="BQ326" s="491"/>
      <c r="BR326" s="491"/>
      <c r="BS326" s="491"/>
      <c r="BT326" s="491"/>
      <c r="BU326" s="491"/>
      <c r="BV326" s="491"/>
      <c r="BW326" s="491"/>
      <c r="BX326" s="491"/>
      <c r="BY326" s="491"/>
      <c r="BZ326" s="491"/>
      <c r="CA326" s="491"/>
      <c r="CB326" s="491"/>
      <c r="CC326" s="491"/>
      <c r="CD326" s="491"/>
      <c r="CE326" s="491"/>
      <c r="CF326" s="491"/>
      <c r="CG326" s="491"/>
      <c r="CH326" s="491"/>
      <c r="CI326" s="491"/>
      <c r="CJ326" s="491"/>
      <c r="CK326" s="491"/>
      <c r="CL326" s="491"/>
      <c r="CM326" s="491"/>
      <c r="CN326" s="491"/>
      <c r="CO326" s="491"/>
      <c r="CP326" s="491"/>
      <c r="CQ326" s="491"/>
      <c r="CR326" s="491"/>
      <c r="CS326" s="491"/>
      <c r="CT326" s="491"/>
      <c r="CU326" s="491"/>
      <c r="CV326" s="491"/>
      <c r="CW326" s="491"/>
      <c r="CX326" s="491"/>
      <c r="CY326" s="491"/>
      <c r="CZ326" s="491"/>
      <c r="DA326" s="491"/>
      <c r="DB326" s="491"/>
      <c r="DC326" s="491"/>
      <c r="DD326" s="491"/>
      <c r="DE326" s="491"/>
      <c r="DF326" s="491"/>
      <c r="DG326" s="491"/>
      <c r="DH326" s="491"/>
    </row>
    <row r="327" spans="1:112" hidden="1"/>
    <row r="328" spans="1:112" hidden="1"/>
    <row r="329" spans="1:112" hidden="1"/>
    <row r="330" spans="1:112" ht="21" hidden="1">
      <c r="B330" s="547" t="s">
        <v>186</v>
      </c>
      <c r="C330" s="2"/>
    </row>
    <row r="331" spans="1:112" hidden="1">
      <c r="C331" s="2"/>
    </row>
    <row r="332" spans="1:112" hidden="1">
      <c r="C332" s="2"/>
    </row>
    <row r="333" spans="1:112" hidden="1">
      <c r="C333" s="2"/>
    </row>
    <row r="334" spans="1:112" hidden="1">
      <c r="B334" s="417" t="s">
        <v>159</v>
      </c>
      <c r="C334" s="661">
        <v>101000000</v>
      </c>
    </row>
    <row r="335" spans="1:112" hidden="1">
      <c r="C335" s="2"/>
    </row>
    <row r="336" spans="1:112" ht="255" hidden="1">
      <c r="B336" s="55" t="s">
        <v>160</v>
      </c>
      <c r="C336" s="2"/>
    </row>
    <row r="337" spans="2:4" hidden="1">
      <c r="B337" s="548" t="s">
        <v>161</v>
      </c>
      <c r="C337" s="2">
        <v>39134960</v>
      </c>
    </row>
    <row r="338" spans="2:4" hidden="1">
      <c r="B338" s="548" t="s">
        <v>162</v>
      </c>
      <c r="C338" s="2">
        <v>29729988</v>
      </c>
    </row>
    <row r="339" spans="2:4" hidden="1">
      <c r="B339" s="548" t="s">
        <v>163</v>
      </c>
      <c r="C339" s="661">
        <v>27000000</v>
      </c>
      <c r="D339" t="s">
        <v>187</v>
      </c>
    </row>
    <row r="340" spans="2:4" hidden="1">
      <c r="B340" s="548" t="s">
        <v>164</v>
      </c>
      <c r="C340" s="2">
        <v>700000</v>
      </c>
    </row>
    <row r="341" spans="2:4" hidden="1">
      <c r="B341" s="548" t="s">
        <v>165</v>
      </c>
      <c r="C341" s="2">
        <v>13000</v>
      </c>
    </row>
    <row r="342" spans="2:4" hidden="1">
      <c r="B342" s="548" t="s">
        <v>166</v>
      </c>
      <c r="C342" s="2">
        <v>4000000</v>
      </c>
    </row>
    <row r="343" spans="2:4" ht="16.5" hidden="1" thickBot="1">
      <c r="B343" s="812" t="s">
        <v>168</v>
      </c>
      <c r="C343" s="813">
        <v>100577948</v>
      </c>
    </row>
    <row r="344" spans="2:4" ht="15.75" hidden="1" thickTop="1">
      <c r="C344" s="2"/>
    </row>
    <row r="345" spans="2:4" hidden="1">
      <c r="B345" t="s">
        <v>170</v>
      </c>
      <c r="C345" s="507">
        <v>1.0041962677544385</v>
      </c>
    </row>
    <row r="346" spans="2:4" hidden="1">
      <c r="C346" s="2"/>
    </row>
    <row r="347" spans="2:4" ht="150" hidden="1">
      <c r="B347" s="54" t="s">
        <v>172</v>
      </c>
      <c r="C347" s="14">
        <v>27000000</v>
      </c>
    </row>
    <row r="348" spans="2:4" hidden="1">
      <c r="C348" s="2"/>
    </row>
    <row r="349" spans="2:4" hidden="1">
      <c r="C349" s="2"/>
      <c r="D349" s="662" t="s">
        <v>188</v>
      </c>
    </row>
    <row r="350" spans="2:4" hidden="1">
      <c r="B350" t="s">
        <v>174</v>
      </c>
      <c r="C350" s="549">
        <v>0.7631</v>
      </c>
      <c r="D350" s="417" t="s">
        <v>175</v>
      </c>
    </row>
    <row r="351" spans="2:4" hidden="1">
      <c r="C351" s="2"/>
    </row>
    <row r="352" spans="2:4" ht="90" hidden="1">
      <c r="B352" s="435" t="s">
        <v>177</v>
      </c>
      <c r="C352" s="550">
        <v>0.1125</v>
      </c>
      <c r="D352" s="551" t="s">
        <v>178</v>
      </c>
    </row>
    <row r="353" spans="2:4" hidden="1">
      <c r="C353" s="2"/>
    </row>
    <row r="354" spans="2:4" ht="180" hidden="1">
      <c r="B354" s="552" t="s">
        <v>180</v>
      </c>
      <c r="C354" s="14">
        <v>3980474</v>
      </c>
      <c r="D354" s="4" t="s">
        <v>181</v>
      </c>
    </row>
    <row r="355" spans="2:4" hidden="1">
      <c r="C355" s="2"/>
    </row>
    <row r="356" spans="2:4" hidden="1">
      <c r="B356" t="s">
        <v>183</v>
      </c>
      <c r="C356" s="2"/>
    </row>
    <row r="357" spans="2:4" hidden="1">
      <c r="B357" t="s">
        <v>184</v>
      </c>
      <c r="C357" s="2"/>
    </row>
    <row r="358" spans="2:4" hidden="1">
      <c r="C358" s="2"/>
    </row>
    <row r="359" spans="2:4" hidden="1">
      <c r="C359" s="440"/>
    </row>
    <row r="360" spans="2:4" hidden="1">
      <c r="C360" s="2">
        <v>20603700</v>
      </c>
    </row>
    <row r="361" spans="2:4" hidden="1">
      <c r="C361" s="2">
        <v>2317916.25</v>
      </c>
    </row>
    <row r="362" spans="2:4" hidden="1">
      <c r="C362" s="2"/>
    </row>
    <row r="363" spans="2:4" hidden="1">
      <c r="C363" s="2"/>
    </row>
    <row r="364" spans="2:4" ht="56.25" hidden="1">
      <c r="C364" s="2"/>
      <c r="D364" s="663" t="s">
        <v>189</v>
      </c>
    </row>
    <row r="365" spans="2:4" hidden="1">
      <c r="C365" s="2"/>
    </row>
    <row r="366" spans="2:4" ht="56.25" hidden="1">
      <c r="C366" s="2"/>
      <c r="D366" s="663" t="s">
        <v>190</v>
      </c>
    </row>
    <row r="367" spans="2:4" hidden="1">
      <c r="C367" s="2"/>
    </row>
    <row r="368" spans="2:4" ht="56.25" hidden="1">
      <c r="C368" s="2"/>
      <c r="D368" s="663" t="s">
        <v>191</v>
      </c>
    </row>
    <row r="369" spans="2:4" hidden="1">
      <c r="C369" s="2"/>
    </row>
    <row r="370" spans="2:4" ht="56.25" hidden="1">
      <c r="C370" s="2"/>
      <c r="D370" s="663" t="s">
        <v>192</v>
      </c>
    </row>
    <row r="371" spans="2:4" hidden="1">
      <c r="C371" s="2"/>
    </row>
    <row r="372" spans="2:4" ht="56.25" hidden="1">
      <c r="C372" s="2"/>
      <c r="D372" s="663" t="s">
        <v>193</v>
      </c>
    </row>
    <row r="373" spans="2:4" hidden="1">
      <c r="C373" s="2"/>
    </row>
    <row r="374" spans="2:4">
      <c r="C374" s="2"/>
    </row>
    <row r="375" spans="2:4" s="796" customFormat="1">
      <c r="C375" s="797"/>
    </row>
    <row r="377" spans="2:4" ht="21">
      <c r="B377" s="547" t="s">
        <v>198</v>
      </c>
      <c r="C377" s="2"/>
    </row>
    <row r="378" spans="2:4">
      <c r="C378" s="2"/>
    </row>
    <row r="379" spans="2:4">
      <c r="C379" s="2"/>
    </row>
    <row r="380" spans="2:4">
      <c r="C380" s="2"/>
    </row>
    <row r="381" spans="2:4">
      <c r="B381" s="417" t="s">
        <v>199</v>
      </c>
      <c r="C381" s="661">
        <v>110715000</v>
      </c>
    </row>
    <row r="382" spans="2:4">
      <c r="C382" s="2"/>
    </row>
    <row r="383" spans="2:4" ht="255">
      <c r="B383" s="55" t="s">
        <v>200</v>
      </c>
      <c r="C383" s="2"/>
    </row>
    <row r="384" spans="2:4">
      <c r="B384" s="548" t="s">
        <v>161</v>
      </c>
      <c r="C384" s="2">
        <v>42700000</v>
      </c>
    </row>
    <row r="385" spans="2:4">
      <c r="B385" s="548" t="s">
        <v>162</v>
      </c>
      <c r="C385" s="2">
        <v>27100000</v>
      </c>
    </row>
    <row r="386" spans="2:4">
      <c r="B386" s="548" t="s">
        <v>163</v>
      </c>
      <c r="C386" s="661">
        <v>28100000</v>
      </c>
      <c r="D386" t="s">
        <v>187</v>
      </c>
    </row>
    <row r="387" spans="2:4">
      <c r="B387" s="548" t="s">
        <v>164</v>
      </c>
      <c r="C387" s="2">
        <v>800000</v>
      </c>
    </row>
    <row r="388" spans="2:4">
      <c r="B388" s="548" t="s">
        <v>165</v>
      </c>
      <c r="C388" s="2">
        <v>0</v>
      </c>
    </row>
    <row r="389" spans="2:4">
      <c r="B389" s="548" t="s">
        <v>166</v>
      </c>
      <c r="C389" s="2">
        <v>12000000</v>
      </c>
    </row>
    <row r="390" spans="2:4" ht="16.5" thickBot="1">
      <c r="B390" s="812" t="s">
        <v>168</v>
      </c>
      <c r="C390" s="813">
        <f>SUM(C384:C389)</f>
        <v>110700000</v>
      </c>
    </row>
    <row r="391" spans="2:4" ht="15.75" thickTop="1">
      <c r="C391" s="2"/>
    </row>
    <row r="392" spans="2:4">
      <c r="B392" t="s">
        <v>170</v>
      </c>
      <c r="C392" s="507">
        <f>C381/C390</f>
        <v>1.0001355013550135</v>
      </c>
    </row>
    <row r="393" spans="2:4">
      <c r="C393" s="2"/>
    </row>
    <row r="394" spans="2:4" ht="150">
      <c r="B394" s="54" t="s">
        <v>172</v>
      </c>
      <c r="C394" s="14">
        <v>28100000</v>
      </c>
    </row>
    <row r="395" spans="2:4">
      <c r="C395" s="2"/>
    </row>
    <row r="396" spans="2:4">
      <c r="C396" s="2"/>
      <c r="D396" s="662" t="s">
        <v>201</v>
      </c>
    </row>
    <row r="397" spans="2:4">
      <c r="B397" t="s">
        <v>202</v>
      </c>
      <c r="C397" s="549">
        <v>0.7631</v>
      </c>
      <c r="D397" s="417" t="s">
        <v>175</v>
      </c>
    </row>
    <row r="398" spans="2:4">
      <c r="C398" s="2"/>
    </row>
    <row r="399" spans="2:4" ht="90">
      <c r="B399" s="435" t="s">
        <v>177</v>
      </c>
      <c r="C399" s="550">
        <v>0.1125</v>
      </c>
      <c r="D399" s="551" t="s">
        <v>178</v>
      </c>
    </row>
    <row r="400" spans="2:4">
      <c r="C400" s="2"/>
    </row>
    <row r="401" spans="2:4" ht="180">
      <c r="B401" s="552" t="s">
        <v>180</v>
      </c>
      <c r="C401" s="14">
        <f>ROUND(C394*(C399/C397),0)</f>
        <v>4142642</v>
      </c>
      <c r="D401" s="4" t="s">
        <v>181</v>
      </c>
    </row>
    <row r="402" spans="2:4">
      <c r="C402" s="2"/>
    </row>
    <row r="403" spans="2:4">
      <c r="B403" t="s">
        <v>183</v>
      </c>
      <c r="C403" s="2"/>
    </row>
    <row r="404" spans="2:4">
      <c r="B404" t="s">
        <v>184</v>
      </c>
      <c r="C404" s="2"/>
    </row>
    <row r="405" spans="2:4">
      <c r="C405" s="2"/>
    </row>
    <row r="406" spans="2:4">
      <c r="C406" s="440"/>
    </row>
    <row r="407" spans="2:4">
      <c r="C407" s="2">
        <f>C394*C397</f>
        <v>21443110</v>
      </c>
      <c r="D407" s="353">
        <f>C394/C397</f>
        <v>36823483.160791509</v>
      </c>
    </row>
    <row r="408" spans="2:4">
      <c r="C408" s="2">
        <f>C407*C399</f>
        <v>2412349.875</v>
      </c>
      <c r="D408" s="353">
        <f>D407*C399</f>
        <v>4142641.8555890447</v>
      </c>
    </row>
    <row r="409" spans="2:4">
      <c r="C409" s="2"/>
    </row>
    <row r="410" spans="2:4">
      <c r="C410" s="2"/>
    </row>
    <row r="411" spans="2:4" ht="56.25">
      <c r="C411" s="2"/>
      <c r="D411" s="663" t="s">
        <v>189</v>
      </c>
    </row>
    <row r="412" spans="2:4">
      <c r="C412" s="2"/>
    </row>
    <row r="413" spans="2:4" ht="56.25">
      <c r="C413" s="2"/>
      <c r="D413" s="663" t="s">
        <v>190</v>
      </c>
    </row>
    <row r="414" spans="2:4">
      <c r="C414" s="2"/>
    </row>
    <row r="415" spans="2:4" ht="56.25">
      <c r="C415" s="2"/>
      <c r="D415" s="663" t="s">
        <v>191</v>
      </c>
    </row>
    <row r="416" spans="2:4">
      <c r="C416" s="2"/>
    </row>
    <row r="417" spans="2:8" ht="56.25">
      <c r="C417" s="2"/>
      <c r="D417" s="663" t="s">
        <v>192</v>
      </c>
    </row>
    <row r="418" spans="2:8">
      <c r="C418" s="2"/>
    </row>
    <row r="419" spans="2:8" ht="56.25">
      <c r="C419" s="2"/>
      <c r="D419" s="663" t="s">
        <v>193</v>
      </c>
    </row>
    <row r="420" spans="2:8">
      <c r="C420" s="2"/>
    </row>
    <row r="421" spans="2:8">
      <c r="C421" s="2"/>
    </row>
    <row r="422" spans="2:8">
      <c r="C422" s="2"/>
    </row>
    <row r="423" spans="2:8">
      <c r="C423" s="2"/>
    </row>
    <row r="424" spans="2:8">
      <c r="B424" t="s">
        <v>203</v>
      </c>
      <c r="C424" s="2"/>
    </row>
    <row r="425" spans="2:8">
      <c r="C425" s="2"/>
    </row>
    <row r="426" spans="2:8" ht="90.75" customHeight="1">
      <c r="B426" s="378" t="s">
        <v>138</v>
      </c>
      <c r="C426" s="2"/>
    </row>
    <row r="427" spans="2:8" ht="15.75">
      <c r="B427" s="882">
        <v>83190.967999999993</v>
      </c>
      <c r="C427" s="2"/>
      <c r="D427" s="798">
        <v>2.029048E-2</v>
      </c>
      <c r="E427" t="s">
        <v>93</v>
      </c>
      <c r="H427" s="353">
        <f t="shared" ref="H427:H442" si="10">D427*$B$445</f>
        <v>83190.967999999993</v>
      </c>
    </row>
    <row r="428" spans="2:8" ht="15.75">
      <c r="B428" s="882">
        <v>36666.587</v>
      </c>
      <c r="C428" s="2"/>
      <c r="D428" s="798">
        <v>8.9430699999999991E-3</v>
      </c>
      <c r="E428" t="s">
        <v>94</v>
      </c>
      <c r="H428" s="353">
        <f t="shared" si="10"/>
        <v>36666.587</v>
      </c>
    </row>
    <row r="429" spans="2:8" ht="15.75">
      <c r="B429" s="882">
        <v>193096.38800000001</v>
      </c>
      <c r="C429" s="2"/>
      <c r="D429" s="798">
        <v>4.7096680000000002E-2</v>
      </c>
      <c r="E429" t="s">
        <v>95</v>
      </c>
      <c r="H429" s="353">
        <f t="shared" si="10"/>
        <v>193096.38800000001</v>
      </c>
    </row>
    <row r="430" spans="2:8" ht="15.75">
      <c r="B430" s="882">
        <v>73431.451000000001</v>
      </c>
      <c r="C430" s="2"/>
      <c r="D430" s="798">
        <v>1.791011E-2</v>
      </c>
      <c r="E430" t="s">
        <v>96</v>
      </c>
      <c r="H430" s="353">
        <f t="shared" si="10"/>
        <v>73431.451000000001</v>
      </c>
    </row>
    <row r="431" spans="2:8" ht="15.75">
      <c r="B431" s="882">
        <v>4666.3329999999996</v>
      </c>
      <c r="C431" s="2"/>
      <c r="D431" s="798">
        <v>1.13813E-3</v>
      </c>
      <c r="E431" t="s">
        <v>97</v>
      </c>
      <c r="H431" s="353">
        <f t="shared" si="10"/>
        <v>4666.3329999999996</v>
      </c>
    </row>
    <row r="432" spans="2:8" ht="15.75">
      <c r="B432" s="882">
        <v>115298.43699999999</v>
      </c>
      <c r="C432" s="2"/>
      <c r="D432" s="798">
        <v>2.8121569999999999E-2</v>
      </c>
      <c r="E432" t="s">
        <v>98</v>
      </c>
      <c r="H432" s="353">
        <f t="shared" si="10"/>
        <v>115298.43699999999</v>
      </c>
    </row>
    <row r="433" spans="2:8" ht="15.75">
      <c r="B433" s="882">
        <v>598632.80000000005</v>
      </c>
      <c r="C433" s="2"/>
      <c r="D433" s="798">
        <v>0.146008</v>
      </c>
      <c r="E433" t="s">
        <v>99</v>
      </c>
      <c r="H433" s="353">
        <f t="shared" si="10"/>
        <v>598632.80000000005</v>
      </c>
    </row>
    <row r="434" spans="2:8" ht="16.5" customHeight="1">
      <c r="B434" s="882">
        <v>5232.9939999999997</v>
      </c>
      <c r="C434" s="2"/>
      <c r="D434" s="798">
        <v>1.2763399999999999E-3</v>
      </c>
      <c r="E434" t="s">
        <v>100</v>
      </c>
      <c r="H434" s="353">
        <f t="shared" si="10"/>
        <v>5232.9939999999997</v>
      </c>
    </row>
    <row r="435" spans="2:8" ht="15.75">
      <c r="B435" s="882">
        <v>5578.3369999999995</v>
      </c>
      <c r="C435" s="2"/>
      <c r="D435" s="798">
        <v>1.36057E-3</v>
      </c>
      <c r="E435" t="s">
        <v>101</v>
      </c>
      <c r="H435" s="353">
        <f t="shared" si="10"/>
        <v>5578.3369999999995</v>
      </c>
    </row>
    <row r="436" spans="2:8" ht="15.75">
      <c r="B436" s="882">
        <v>46400.273999999998</v>
      </c>
      <c r="C436" s="2"/>
      <c r="D436" s="798">
        <v>1.131714E-2</v>
      </c>
      <c r="E436" t="s">
        <v>102</v>
      </c>
      <c r="H436" s="353">
        <f t="shared" si="10"/>
        <v>46400.273999999998</v>
      </c>
    </row>
    <row r="437" spans="2:8" ht="15.75">
      <c r="B437" s="882">
        <v>21439.637999999999</v>
      </c>
      <c r="C437" s="2"/>
      <c r="D437" s="798">
        <v>5.2291799999999999E-3</v>
      </c>
      <c r="E437" t="s">
        <v>103</v>
      </c>
      <c r="H437" s="353">
        <f t="shared" si="10"/>
        <v>21439.637999999999</v>
      </c>
    </row>
    <row r="438" spans="2:8" ht="15.75">
      <c r="B438" s="882">
        <v>559111.875</v>
      </c>
      <c r="C438" s="2"/>
      <c r="D438" s="798">
        <v>0.13636875000000001</v>
      </c>
      <c r="E438" t="s">
        <v>104</v>
      </c>
      <c r="H438" s="353">
        <f t="shared" si="10"/>
        <v>559111.875</v>
      </c>
    </row>
    <row r="439" spans="2:8" ht="15.75">
      <c r="B439" s="882">
        <v>5400.3970000000008</v>
      </c>
      <c r="C439" s="2"/>
      <c r="D439" s="798">
        <v>1.3171700000000001E-3</v>
      </c>
      <c r="E439" t="s">
        <v>105</v>
      </c>
      <c r="H439" s="353">
        <f t="shared" si="10"/>
        <v>5400.3970000000008</v>
      </c>
    </row>
    <row r="440" spans="2:8" ht="15.75">
      <c r="B440" s="882">
        <v>13786.700999999999</v>
      </c>
      <c r="C440" s="2"/>
      <c r="D440" s="798">
        <v>3.3626099999999998E-3</v>
      </c>
      <c r="E440" t="s">
        <v>106</v>
      </c>
      <c r="H440" s="353">
        <f t="shared" si="10"/>
        <v>13786.700999999999</v>
      </c>
    </row>
    <row r="441" spans="2:8" ht="15.75">
      <c r="B441" s="882">
        <v>17554.929</v>
      </c>
      <c r="C441" s="2"/>
      <c r="D441" s="798">
        <v>4.2816900000000003E-3</v>
      </c>
      <c r="E441" t="s">
        <v>107</v>
      </c>
      <c r="H441" s="353">
        <f t="shared" si="10"/>
        <v>17554.929</v>
      </c>
    </row>
    <row r="442" spans="2:8" ht="15.75">
      <c r="B442" s="882">
        <v>2320511.8909999998</v>
      </c>
      <c r="C442" s="2"/>
      <c r="D442" s="798">
        <v>0.56597850999999999</v>
      </c>
      <c r="E442" t="s">
        <v>108</v>
      </c>
      <c r="H442" s="353">
        <f t="shared" si="10"/>
        <v>2320511.8909999998</v>
      </c>
    </row>
    <row r="443" spans="2:8" ht="15.75">
      <c r="B443" s="425"/>
      <c r="C443" s="2"/>
      <c r="H443" s="353"/>
    </row>
    <row r="444" spans="2:8" ht="15.75">
      <c r="B444" s="425"/>
      <c r="C444" s="2"/>
      <c r="H444" s="353"/>
    </row>
    <row r="445" spans="2:8" ht="15.75">
      <c r="B445" s="384">
        <v>4100000</v>
      </c>
      <c r="C445" s="2"/>
      <c r="D445">
        <v>1</v>
      </c>
      <c r="E445" t="s">
        <v>204</v>
      </c>
      <c r="H445" s="353">
        <f>D445*$B$445</f>
        <v>4100000</v>
      </c>
    </row>
    <row r="446" spans="2:8">
      <c r="H446" s="353"/>
    </row>
    <row r="447" spans="2:8" s="794" customFormat="1"/>
  </sheetData>
  <mergeCells count="15">
    <mergeCell ref="B278:E278"/>
    <mergeCell ref="I96:I97"/>
    <mergeCell ref="F39:F40"/>
    <mergeCell ref="G39:G40"/>
    <mergeCell ref="I39:I40"/>
    <mergeCell ref="F67:F68"/>
    <mergeCell ref="G67:G68"/>
    <mergeCell ref="I67:I68"/>
    <mergeCell ref="I283:I284"/>
    <mergeCell ref="F226:F227"/>
    <mergeCell ref="G226:G227"/>
    <mergeCell ref="F254:F255"/>
    <mergeCell ref="G254:G255"/>
    <mergeCell ref="I226:I227"/>
    <mergeCell ref="I254:I255"/>
  </mergeCells>
  <hyperlinks>
    <hyperlink ref="D30" r:id="rId1" display="https://www.lagtinget.ax/dokument/lagforslag-11-2022-2023-53175" xr:uid="{149EB007-AD10-4BCF-B10A-424AC561BAF7}"/>
    <hyperlink ref="D31" r:id="rId2" display="https://www.lagtinget.ax/dokument/lagforslag-52022-2023-52735" xr:uid="{9A1DD012-F2CC-4075-BE79-8EF1B1707369}"/>
    <hyperlink ref="B381" r:id="rId3" display="ÅD:s beslut om förskott på skatteavräkning för skatteår 2023" xr:uid="{F8824FB3-0AC1-4050-9CC6-633CA2446217}"/>
    <hyperlink ref="D397" r:id="rId4" location="L3P12f" xr:uid="{0DA56C59-EBB1-43A9-9AE1-591334C8D0FE}"/>
    <hyperlink ref="D399" r:id="rId5" xr:uid="{2BB92D5B-CF19-4EF8-A1CB-5980384DD001}"/>
    <hyperlink ref="E216" r:id="rId6" display="https://www.lagtinget.ax/dokument/lagforslag-11-2022-2023-53175" xr:uid="{6B0D5087-8B28-424B-BC8C-EBFBBD7CC7FD}"/>
    <hyperlink ref="E217" r:id="rId7" display="https://www.lagtinget.ax/dokument/lagforslag-52022-2023-52735" xr:uid="{8DEE972A-D0A5-462A-BB3E-184267CBB4EF}"/>
  </hyperlinks>
  <pageMargins left="0.7" right="0.7" top="0.75" bottom="0.75" header="0.3" footer="0.3"/>
  <pageSetup paperSize="9" orientation="portrait" r:id="rId8"/>
  <drawing r:id="rId9"/>
  <legacy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5858-5C5D-4380-A743-F8155F80D8B6}">
  <sheetPr>
    <pageSetUpPr fitToPage="1"/>
  </sheetPr>
  <dimension ref="A1:L91"/>
  <sheetViews>
    <sheetView zoomScale="115" zoomScaleNormal="115" workbookViewId="0">
      <selection activeCell="H40" sqref="H40"/>
    </sheetView>
  </sheetViews>
  <sheetFormatPr defaultColWidth="8.88671875" defaultRowHeight="15"/>
  <cols>
    <col min="1" max="1" width="2.21875" style="804" bestFit="1" customWidth="1"/>
    <col min="2" max="2" width="43" style="806" bestFit="1" customWidth="1"/>
    <col min="3" max="3" width="17" style="805" customWidth="1"/>
    <col min="4" max="4" width="13.5546875" style="805" customWidth="1"/>
    <col min="5" max="5" width="8.88671875" style="806"/>
    <col min="6" max="6" width="9.88671875" style="806" bestFit="1" customWidth="1"/>
    <col min="7" max="9" width="8.88671875" style="806"/>
    <col min="10" max="10" width="10.21875" style="806" customWidth="1"/>
    <col min="11" max="11" width="8.88671875" style="806"/>
    <col min="12" max="12" width="9.5546875" style="806" bestFit="1" customWidth="1"/>
    <col min="13" max="16384" width="8.88671875" style="806"/>
  </cols>
  <sheetData>
    <row r="1" spans="1:4" ht="22.5">
      <c r="B1" s="774" t="s">
        <v>614</v>
      </c>
    </row>
    <row r="3" spans="1:4" ht="21">
      <c r="B3" s="547" t="s">
        <v>157</v>
      </c>
    </row>
    <row r="6" spans="1:4" ht="60">
      <c r="C6" s="875" t="s">
        <v>205</v>
      </c>
      <c r="D6" s="807" t="s">
        <v>616</v>
      </c>
    </row>
    <row r="7" spans="1:4">
      <c r="A7" s="804" t="s">
        <v>158</v>
      </c>
      <c r="B7" s="808" t="s">
        <v>159</v>
      </c>
      <c r="C7" s="805">
        <v>96000000</v>
      </c>
      <c r="D7" s="809"/>
    </row>
    <row r="8" spans="1:4">
      <c r="D8" s="809"/>
    </row>
    <row r="9" spans="1:4" ht="45">
      <c r="B9" s="810" t="s">
        <v>160</v>
      </c>
      <c r="D9" s="809"/>
    </row>
    <row r="10" spans="1:4">
      <c r="B10" s="811" t="s">
        <v>161</v>
      </c>
      <c r="C10" s="805">
        <v>39134960</v>
      </c>
      <c r="D10" s="809"/>
    </row>
    <row r="11" spans="1:4">
      <c r="B11" s="811" t="s">
        <v>162</v>
      </c>
      <c r="C11" s="805">
        <v>29729988</v>
      </c>
      <c r="D11" s="809"/>
    </row>
    <row r="12" spans="1:4">
      <c r="B12" s="811" t="s">
        <v>163</v>
      </c>
      <c r="C12" s="805">
        <v>22802700</v>
      </c>
      <c r="D12" s="809">
        <v>28560383</v>
      </c>
    </row>
    <row r="13" spans="1:4">
      <c r="B13" s="811" t="s">
        <v>164</v>
      </c>
      <c r="C13" s="805">
        <v>700000</v>
      </c>
      <c r="D13" s="809"/>
    </row>
    <row r="14" spans="1:4">
      <c r="B14" s="811" t="s">
        <v>165</v>
      </c>
      <c r="C14" s="805">
        <v>13000</v>
      </c>
      <c r="D14" s="809"/>
    </row>
    <row r="15" spans="1:4">
      <c r="B15" s="811" t="s">
        <v>166</v>
      </c>
      <c r="C15" s="805">
        <v>4000000</v>
      </c>
      <c r="D15" s="809"/>
    </row>
    <row r="16" spans="1:4" ht="15.75" thickBot="1">
      <c r="A16" s="804" t="s">
        <v>167</v>
      </c>
      <c r="B16" s="812" t="s">
        <v>168</v>
      </c>
      <c r="C16" s="813">
        <f>SUM(C10:C15)</f>
        <v>96380648</v>
      </c>
      <c r="D16" s="814"/>
    </row>
    <row r="17" spans="1:6" ht="15.75" thickTop="1">
      <c r="D17" s="809"/>
    </row>
    <row r="18" spans="1:6">
      <c r="A18" s="804" t="s">
        <v>169</v>
      </c>
      <c r="B18" s="806" t="s">
        <v>170</v>
      </c>
      <c r="C18" s="815">
        <f>C7/C16</f>
        <v>0.99605057646012096</v>
      </c>
      <c r="D18" s="816"/>
    </row>
    <row r="19" spans="1:6">
      <c r="D19" s="809"/>
    </row>
    <row r="20" spans="1:6" ht="30">
      <c r="A20" s="804" t="s">
        <v>171</v>
      </c>
      <c r="B20" s="817" t="s">
        <v>172</v>
      </c>
      <c r="C20" s="818">
        <f>C18*C12</f>
        <v>22712642.4798472</v>
      </c>
      <c r="D20" s="819">
        <f>D12</f>
        <v>28560383</v>
      </c>
    </row>
    <row r="21" spans="1:6">
      <c r="D21" s="809"/>
    </row>
    <row r="22" spans="1:6">
      <c r="D22" s="809"/>
    </row>
    <row r="23" spans="1:6">
      <c r="A23" s="804" t="s">
        <v>173</v>
      </c>
      <c r="B23" s="806" t="s">
        <v>174</v>
      </c>
      <c r="C23" s="820">
        <v>0.76090000000000002</v>
      </c>
      <c r="D23" s="821">
        <v>0.76090000000000002</v>
      </c>
      <c r="E23" s="808" t="s">
        <v>175</v>
      </c>
    </row>
    <row r="24" spans="1:6">
      <c r="D24" s="809"/>
    </row>
    <row r="25" spans="1:6" ht="150">
      <c r="A25" s="804" t="s">
        <v>176</v>
      </c>
      <c r="B25" s="804" t="s">
        <v>177</v>
      </c>
      <c r="C25" s="822">
        <v>0.1125</v>
      </c>
      <c r="D25" s="823">
        <v>0.1125</v>
      </c>
      <c r="E25" s="824" t="s">
        <v>178</v>
      </c>
    </row>
    <row r="26" spans="1:6">
      <c r="D26" s="809"/>
      <c r="F26" s="825" t="s">
        <v>206</v>
      </c>
    </row>
    <row r="27" spans="1:6" ht="30">
      <c r="A27" s="804" t="s">
        <v>179</v>
      </c>
      <c r="B27" s="826" t="s">
        <v>180</v>
      </c>
      <c r="C27" s="818">
        <f>ROUND(C20*(C25/C23),0)</f>
        <v>3358092</v>
      </c>
      <c r="D27" s="819">
        <f>ROUND(D20*(D25/D23),0)</f>
        <v>4222688</v>
      </c>
      <c r="E27" s="827" t="s">
        <v>181</v>
      </c>
      <c r="F27" s="809">
        <f>D27-C27</f>
        <v>864596</v>
      </c>
    </row>
    <row r="29" spans="1:6">
      <c r="A29" s="804" t="s">
        <v>182</v>
      </c>
      <c r="B29" s="806" t="s">
        <v>183</v>
      </c>
    </row>
    <row r="30" spans="1:6">
      <c r="B30" s="806" t="s">
        <v>184</v>
      </c>
    </row>
    <row r="32" spans="1:6">
      <c r="C32" s="828"/>
      <c r="D32" s="828"/>
    </row>
    <row r="33" spans="2:6">
      <c r="C33" s="805">
        <f>C20*C23</f>
        <v>17282049.662915736</v>
      </c>
    </row>
    <row r="34" spans="2:6">
      <c r="C34" s="805">
        <f>C33*C25</f>
        <v>1944230.5870780204</v>
      </c>
    </row>
    <row r="36" spans="2:6">
      <c r="C36" s="805">
        <f>C20/C23</f>
        <v>29849707.556639768</v>
      </c>
    </row>
    <row r="37" spans="2:6">
      <c r="C37" s="805">
        <f>C25*C36</f>
        <v>3358092.100121974</v>
      </c>
    </row>
    <row r="41" spans="2:6">
      <c r="B41" s="829"/>
      <c r="C41" s="829"/>
      <c r="D41" s="829"/>
      <c r="E41" s="829"/>
      <c r="F41" s="829"/>
    </row>
    <row r="42" spans="2:6">
      <c r="B42" s="829"/>
      <c r="C42" s="829"/>
      <c r="D42" s="829"/>
      <c r="E42" s="829"/>
      <c r="F42" s="829"/>
    </row>
    <row r="43" spans="2:6">
      <c r="B43" s="830" t="s">
        <v>207</v>
      </c>
      <c r="C43" s="830"/>
      <c r="D43" s="830"/>
      <c r="E43" s="830"/>
      <c r="F43" s="830"/>
    </row>
    <row r="44" spans="2:6">
      <c r="B44" s="830" t="s">
        <v>208</v>
      </c>
      <c r="C44" s="830"/>
      <c r="D44" s="830"/>
      <c r="E44" s="830"/>
      <c r="F44" s="830"/>
    </row>
    <row r="45" spans="2:6">
      <c r="B45" s="829"/>
      <c r="C45" s="829"/>
      <c r="D45" s="829"/>
      <c r="E45" s="829"/>
      <c r="F45" s="829"/>
    </row>
    <row r="46" spans="2:6">
      <c r="B46" s="831"/>
      <c r="C46" s="832"/>
      <c r="D46" s="832"/>
      <c r="E46" s="833"/>
      <c r="F46" s="829"/>
    </row>
    <row r="47" spans="2:6" ht="15.75" thickBot="1">
      <c r="B47" s="834" t="s">
        <v>209</v>
      </c>
      <c r="C47" s="835"/>
      <c r="D47" s="835"/>
      <c r="E47" s="836"/>
      <c r="F47" s="829"/>
    </row>
    <row r="48" spans="2:6" ht="15.75" thickTop="1">
      <c r="B48" s="837"/>
      <c r="C48" s="835"/>
      <c r="D48" s="835"/>
      <c r="E48" s="836"/>
      <c r="F48" s="829"/>
    </row>
    <row r="49" spans="2:6">
      <c r="B49" s="838">
        <f>D27</f>
        <v>4222688</v>
      </c>
      <c r="C49" s="839"/>
      <c r="D49" s="839"/>
      <c r="E49" s="836"/>
      <c r="F49" s="829"/>
    </row>
    <row r="50" spans="2:6">
      <c r="B50" s="840">
        <f>[3]Kompensationsbelopp!C25</f>
        <v>3358092</v>
      </c>
      <c r="C50" s="839"/>
      <c r="D50" s="839"/>
      <c r="E50" s="836"/>
      <c r="F50" s="829"/>
    </row>
    <row r="51" spans="2:6">
      <c r="B51" s="841">
        <f>B49-B50</f>
        <v>864596</v>
      </c>
      <c r="C51" s="842"/>
      <c r="D51" s="842"/>
      <c r="E51" s="836"/>
      <c r="F51" s="829"/>
    </row>
    <row r="52" spans="2:6">
      <c r="B52" s="843"/>
      <c r="C52" s="844"/>
      <c r="D52" s="844"/>
      <c r="E52" s="845"/>
      <c r="F52" s="829"/>
    </row>
    <row r="53" spans="2:6">
      <c r="B53" s="846"/>
      <c r="C53" s="829"/>
      <c r="D53" s="829"/>
      <c r="E53" s="829"/>
      <c r="F53" s="829"/>
    </row>
    <row r="54" spans="2:6" ht="21.75" thickBot="1">
      <c r="B54" s="847" t="s">
        <v>210</v>
      </c>
      <c r="C54" s="848"/>
      <c r="D54" s="848"/>
      <c r="E54" s="829"/>
      <c r="F54" s="829"/>
    </row>
    <row r="55" spans="2:6" ht="63.75" thickTop="1">
      <c r="B55" s="849" t="s">
        <v>172</v>
      </c>
      <c r="C55" s="848"/>
      <c r="D55" s="848"/>
      <c r="E55" s="829"/>
      <c r="F55" s="829"/>
    </row>
    <row r="56" spans="2:6" ht="21">
      <c r="B56" s="850">
        <f>D20</f>
        <v>28560383</v>
      </c>
      <c r="C56" s="848"/>
      <c r="D56" s="848"/>
      <c r="E56" s="829"/>
      <c r="F56" s="829"/>
    </row>
    <row r="57" spans="2:6" ht="42">
      <c r="B57" s="851" t="s">
        <v>174</v>
      </c>
      <c r="C57" s="848"/>
      <c r="D57" s="848"/>
      <c r="E57" s="829"/>
      <c r="F57" s="829"/>
    </row>
    <row r="58" spans="2:6" ht="21">
      <c r="B58" s="852">
        <v>0.76090000000000002</v>
      </c>
      <c r="C58" s="848"/>
      <c r="D58" s="848"/>
      <c r="E58" s="829"/>
      <c r="F58" s="829"/>
    </row>
    <row r="59" spans="2:6" ht="42">
      <c r="B59" s="851" t="s">
        <v>177</v>
      </c>
      <c r="C59" s="848"/>
      <c r="D59" s="848"/>
      <c r="E59" s="829"/>
      <c r="F59" s="829"/>
    </row>
    <row r="60" spans="2:6" ht="21">
      <c r="B60" s="853">
        <v>0.1125</v>
      </c>
      <c r="C60" s="848"/>
      <c r="D60" s="848"/>
      <c r="E60" s="829"/>
      <c r="F60" s="829"/>
    </row>
    <row r="61" spans="2:6" ht="84">
      <c r="B61" s="851" t="s">
        <v>180</v>
      </c>
      <c r="C61" s="848"/>
      <c r="D61" s="848">
        <f>B56/B58</f>
        <v>37535001.971349716</v>
      </c>
      <c r="E61" s="829"/>
      <c r="F61" s="829"/>
    </row>
    <row r="62" spans="2:6" ht="21">
      <c r="B62" s="854" t="s">
        <v>611</v>
      </c>
      <c r="C62" s="848"/>
      <c r="D62" s="848"/>
      <c r="E62" s="829"/>
      <c r="F62" s="829"/>
    </row>
    <row r="63" spans="2:6" ht="21">
      <c r="B63" s="855">
        <f>ROUND(D61*B60,0)</f>
        <v>4222688</v>
      </c>
      <c r="C63" s="856">
        <v>0</v>
      </c>
      <c r="D63" s="856"/>
      <c r="E63" s="829"/>
      <c r="F63" s="829"/>
    </row>
    <row r="64" spans="2:6">
      <c r="B64" s="829"/>
      <c r="C64" s="829"/>
      <c r="D64" s="829"/>
      <c r="E64" s="829"/>
      <c r="F64" s="829"/>
    </row>
    <row r="65" spans="2:12">
      <c r="B65" s="857"/>
      <c r="C65" s="858" t="s">
        <v>211</v>
      </c>
      <c r="D65" s="859" t="s">
        <v>212</v>
      </c>
      <c r="E65" s="829"/>
      <c r="F65" s="829"/>
    </row>
    <row r="66" spans="2:12">
      <c r="B66" s="860"/>
      <c r="C66" s="861"/>
      <c r="D66" s="859">
        <v>2023</v>
      </c>
      <c r="E66" s="829"/>
      <c r="F66" s="829"/>
    </row>
    <row r="67" spans="2:12">
      <c r="B67" s="862"/>
      <c r="C67" s="861" t="s">
        <v>213</v>
      </c>
      <c r="D67" s="858" t="s">
        <v>214</v>
      </c>
      <c r="E67" s="829"/>
      <c r="F67" s="829"/>
    </row>
    <row r="68" spans="2:12">
      <c r="B68" s="863" t="s">
        <v>93</v>
      </c>
      <c r="C68" s="864">
        <v>2.478648E-2</v>
      </c>
      <c r="D68" s="865">
        <f t="shared" ref="D68:D82" si="0">ROUND($B$49*C68,2)</f>
        <v>104665.57</v>
      </c>
      <c r="E68" s="829"/>
      <c r="F68" s="866">
        <f t="shared" ref="F68:F86" si="1">C68*$D$85</f>
        <v>104665.57190610481</v>
      </c>
      <c r="J68" s="867"/>
      <c r="L68" s="868"/>
    </row>
    <row r="69" spans="2:12">
      <c r="B69" s="863" t="s">
        <v>94</v>
      </c>
      <c r="C69" s="869">
        <v>6.9712699999999999E-3</v>
      </c>
      <c r="D69" s="865">
        <f t="shared" si="0"/>
        <v>29437.5</v>
      </c>
      <c r="E69" s="829"/>
      <c r="F69" s="866">
        <f t="shared" si="1"/>
        <v>29437.498243472706</v>
      </c>
      <c r="L69" s="868"/>
    </row>
    <row r="70" spans="2:12">
      <c r="B70" s="863" t="s">
        <v>95</v>
      </c>
      <c r="C70" s="869">
        <v>5.2019490000000002E-2</v>
      </c>
      <c r="D70" s="865">
        <f t="shared" si="0"/>
        <v>219662.07999999999</v>
      </c>
      <c r="E70" s="829"/>
      <c r="F70" s="866">
        <f t="shared" si="1"/>
        <v>219662.07670931495</v>
      </c>
      <c r="L70" s="868"/>
    </row>
    <row r="71" spans="2:12">
      <c r="B71" s="863" t="s">
        <v>96</v>
      </c>
      <c r="C71" s="869">
        <v>1.6062549999999998E-2</v>
      </c>
      <c r="D71" s="865">
        <f t="shared" si="0"/>
        <v>67827.14</v>
      </c>
      <c r="E71" s="829"/>
      <c r="F71" s="866">
        <f t="shared" si="1"/>
        <v>67827.137295025503</v>
      </c>
      <c r="L71" s="868"/>
    </row>
    <row r="72" spans="2:12">
      <c r="B72" s="863" t="s">
        <v>97</v>
      </c>
      <c r="C72" s="869">
        <v>8.4712999999999998E-4</v>
      </c>
      <c r="D72" s="865">
        <f t="shared" si="0"/>
        <v>3577.17</v>
      </c>
      <c r="E72" s="829"/>
      <c r="F72" s="866">
        <f t="shared" si="1"/>
        <v>3577.1656939113004</v>
      </c>
      <c r="L72" s="868"/>
    </row>
    <row r="73" spans="2:12">
      <c r="B73" s="863" t="s">
        <v>98</v>
      </c>
      <c r="C73" s="869">
        <v>2.8743330000000001E-2</v>
      </c>
      <c r="D73" s="865">
        <f t="shared" si="0"/>
        <v>121374.11</v>
      </c>
      <c r="E73" s="829"/>
      <c r="F73" s="866">
        <f t="shared" si="1"/>
        <v>121374.11495847332</v>
      </c>
      <c r="L73" s="868"/>
    </row>
    <row r="74" spans="2:12">
      <c r="B74" s="863" t="s">
        <v>99</v>
      </c>
      <c r="C74" s="869">
        <v>0.14139794999999999</v>
      </c>
      <c r="D74" s="865">
        <f t="shared" si="0"/>
        <v>597079.43000000005</v>
      </c>
      <c r="E74" s="829"/>
      <c r="F74" s="866">
        <f t="shared" si="1"/>
        <v>597079.42810357956</v>
      </c>
      <c r="L74" s="868"/>
    </row>
    <row r="75" spans="2:12">
      <c r="B75" s="863" t="s">
        <v>100</v>
      </c>
      <c r="C75" s="869">
        <v>1.0712E-3</v>
      </c>
      <c r="D75" s="865">
        <f t="shared" si="0"/>
        <v>4523.34</v>
      </c>
      <c r="E75" s="829"/>
      <c r="F75" s="866">
        <f t="shared" si="1"/>
        <v>4523.3433963120006</v>
      </c>
      <c r="L75" s="868"/>
    </row>
    <row r="76" spans="2:12">
      <c r="B76" s="863" t="s">
        <v>101</v>
      </c>
      <c r="C76" s="869">
        <v>1.65368E-3</v>
      </c>
      <c r="D76" s="865">
        <f t="shared" si="0"/>
        <v>6982.97</v>
      </c>
      <c r="E76" s="829"/>
      <c r="F76" s="866">
        <f t="shared" si="1"/>
        <v>6982.9747083768016</v>
      </c>
      <c r="L76" s="868"/>
    </row>
    <row r="77" spans="2:12">
      <c r="B77" s="863" t="s">
        <v>102</v>
      </c>
      <c r="C77" s="869">
        <v>1.2435710000000001E-2</v>
      </c>
      <c r="D77" s="865">
        <f t="shared" si="0"/>
        <v>52512.12</v>
      </c>
      <c r="E77" s="829"/>
      <c r="F77" s="866">
        <f t="shared" si="1"/>
        <v>52512.123512837112</v>
      </c>
      <c r="L77" s="868"/>
    </row>
    <row r="78" spans="2:12">
      <c r="B78" s="863" t="s">
        <v>103</v>
      </c>
      <c r="C78" s="869">
        <v>4.7930899999999999E-3</v>
      </c>
      <c r="D78" s="865">
        <f t="shared" si="0"/>
        <v>20239.72</v>
      </c>
      <c r="E78" s="829"/>
      <c r="F78" s="866">
        <f t="shared" si="1"/>
        <v>20239.723673850902</v>
      </c>
      <c r="L78" s="868"/>
    </row>
    <row r="79" spans="2:12">
      <c r="B79" s="863" t="s">
        <v>104</v>
      </c>
      <c r="C79" s="869">
        <v>0.12621383</v>
      </c>
      <c r="D79" s="865">
        <f t="shared" si="0"/>
        <v>532961.63</v>
      </c>
      <c r="E79" s="829"/>
      <c r="F79" s="866">
        <f t="shared" si="1"/>
        <v>532961.62663717836</v>
      </c>
      <c r="L79" s="868"/>
    </row>
    <row r="80" spans="2:12">
      <c r="B80" s="863" t="s">
        <v>105</v>
      </c>
      <c r="C80" s="869">
        <v>1.4606899999999999E-3</v>
      </c>
      <c r="D80" s="865">
        <f t="shared" si="0"/>
        <v>6168.04</v>
      </c>
      <c r="E80" s="829"/>
      <c r="F80" s="866">
        <f t="shared" si="1"/>
        <v>6168.0381493269006</v>
      </c>
      <c r="L80" s="868"/>
    </row>
    <row r="81" spans="2:12">
      <c r="B81" s="863" t="s">
        <v>106</v>
      </c>
      <c r="C81" s="869">
        <v>4.8328900000000003E-3</v>
      </c>
      <c r="D81" s="865">
        <f t="shared" si="0"/>
        <v>20407.79</v>
      </c>
      <c r="E81" s="829"/>
      <c r="F81" s="866">
        <f t="shared" si="1"/>
        <v>20407.786656648903</v>
      </c>
      <c r="L81" s="868"/>
    </row>
    <row r="82" spans="2:12">
      <c r="B82" s="863" t="s">
        <v>107</v>
      </c>
      <c r="C82" s="869">
        <v>3.5921E-3</v>
      </c>
      <c r="D82" s="865">
        <f t="shared" si="0"/>
        <v>15168.32</v>
      </c>
      <c r="E82" s="829"/>
      <c r="F82" s="866">
        <f t="shared" si="1"/>
        <v>15168.317600721002</v>
      </c>
      <c r="L82" s="868"/>
    </row>
    <row r="83" spans="2:12">
      <c r="B83" s="863"/>
      <c r="C83" s="869"/>
      <c r="D83" s="865"/>
      <c r="E83" s="829"/>
      <c r="F83" s="866">
        <f t="shared" si="1"/>
        <v>0</v>
      </c>
      <c r="L83" s="868"/>
    </row>
    <row r="84" spans="2:12">
      <c r="B84" s="863" t="s">
        <v>108</v>
      </c>
      <c r="C84" s="870">
        <v>0.57311860999999997</v>
      </c>
      <c r="D84" s="865">
        <f>ROUND($B$49*C84,2)</f>
        <v>2420101.08</v>
      </c>
      <c r="E84" s="829"/>
      <c r="F84" s="866">
        <f t="shared" si="1"/>
        <v>2420101.0827548662</v>
      </c>
      <c r="L84" s="868"/>
    </row>
    <row r="85" spans="2:12">
      <c r="B85" s="871"/>
      <c r="C85" s="872"/>
      <c r="D85" s="1134">
        <f>SUM(D68:D84)</f>
        <v>4222688.0100000007</v>
      </c>
      <c r="E85" s="829"/>
      <c r="F85" s="866">
        <f t="shared" si="1"/>
        <v>0</v>
      </c>
    </row>
    <row r="86" spans="2:12">
      <c r="B86" s="873" t="s">
        <v>204</v>
      </c>
      <c r="C86" s="874">
        <v>0.99999999999999978</v>
      </c>
      <c r="D86" s="1135"/>
      <c r="E86" s="829"/>
      <c r="F86" s="866">
        <f t="shared" si="1"/>
        <v>4222688.01</v>
      </c>
    </row>
    <row r="87" spans="2:12">
      <c r="B87" s="829"/>
      <c r="C87" s="829"/>
      <c r="D87" s="829"/>
      <c r="E87" s="829"/>
      <c r="F87" s="829"/>
    </row>
    <row r="88" spans="2:12">
      <c r="B88" s="829"/>
      <c r="C88" s="1136"/>
      <c r="D88" s="1136"/>
      <c r="E88" s="829"/>
      <c r="F88" s="829"/>
    </row>
    <row r="89" spans="2:12">
      <c r="B89" s="829"/>
      <c r="C89" s="1136"/>
      <c r="D89" s="1136"/>
      <c r="E89" s="829"/>
      <c r="F89" s="829"/>
    </row>
    <row r="90" spans="2:12">
      <c r="B90" s="829"/>
      <c r="C90" s="829"/>
      <c r="D90" s="829"/>
      <c r="E90" s="829"/>
      <c r="F90" s="829"/>
    </row>
    <row r="91" spans="2:12">
      <c r="B91" s="829"/>
      <c r="C91" s="829"/>
      <c r="D91" s="829"/>
      <c r="E91" s="829"/>
      <c r="F91" s="829"/>
    </row>
  </sheetData>
  <mergeCells count="3">
    <mergeCell ref="D85:D86"/>
    <mergeCell ref="C88:C89"/>
    <mergeCell ref="D88:D89"/>
  </mergeCells>
  <hyperlinks>
    <hyperlink ref="B7" r:id="rId1" xr:uid="{526B290F-5C76-41D3-8782-279306639C1E}"/>
    <hyperlink ref="E23" r:id="rId2" location="L3P12f" xr:uid="{6749F984-5D2D-4CF8-B9A5-C324BB6F0285}"/>
    <hyperlink ref="E25" r:id="rId3" xr:uid="{AFA1EF76-B72A-4B40-B11B-505B4887709A}"/>
  </hyperlinks>
  <pageMargins left="0.70866141732283472" right="0.70866141732283472" top="0.74803149606299213" bottom="0.74803149606299213" header="0.31496062992125984" footer="0.31496062992125984"/>
  <pageSetup paperSize="9" scale="74" fitToWidth="2" fitToHeight="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C422-CB74-4000-8E1E-697383C3D7D8}">
  <sheetPr>
    <tabColor theme="2"/>
    <pageSetUpPr fitToPage="1"/>
  </sheetPr>
  <dimension ref="A4:Z128"/>
  <sheetViews>
    <sheetView topLeftCell="A13" zoomScale="80" zoomScaleNormal="80" workbookViewId="0">
      <pane xSplit="2" ySplit="4" topLeftCell="C17" activePane="bottomRight" state="frozen"/>
      <selection pane="topRight" activeCell="K136" sqref="K136"/>
      <selection pane="bottomLeft" activeCell="K136" sqref="K136"/>
      <selection pane="bottomRight" activeCell="L61" sqref="L61"/>
    </sheetView>
  </sheetViews>
  <sheetFormatPr defaultColWidth="8.88671875" defaultRowHeight="15" outlineLevelCol="1"/>
  <cols>
    <col min="1" max="1" width="6.77734375" style="931" bestFit="1" customWidth="1"/>
    <col min="2" max="2" width="10.44140625" style="931" customWidth="1"/>
    <col min="3" max="3" width="11.77734375" style="931" customWidth="1"/>
    <col min="4" max="4" width="9.88671875" style="931" customWidth="1"/>
    <col min="5" max="5" width="15.77734375" style="931" customWidth="1"/>
    <col min="6" max="6" width="11" style="931" customWidth="1" outlineLevel="1"/>
    <col min="7" max="7" width="15.33203125" style="931" customWidth="1"/>
    <col min="8" max="8" width="16.33203125" style="931" customWidth="1"/>
    <col min="9" max="9" width="15.33203125" style="931" customWidth="1"/>
    <col min="10" max="10" width="9" style="931" customWidth="1" outlineLevel="1"/>
    <col min="11" max="11" width="15.33203125" style="931" customWidth="1"/>
    <col min="12" max="12" width="17.6640625" style="931" bestFit="1" customWidth="1"/>
    <col min="13" max="13" width="20.77734375" style="931" bestFit="1" customWidth="1"/>
    <col min="14" max="14" width="7.21875" style="931" bestFit="1" customWidth="1"/>
    <col min="15" max="15" width="3.88671875" style="931" bestFit="1" customWidth="1"/>
    <col min="16" max="16" width="7.21875" style="931" bestFit="1" customWidth="1"/>
    <col min="17" max="17" width="5.21875" style="931" bestFit="1" customWidth="1"/>
    <col min="18" max="18" width="6.21875" style="931" bestFit="1" customWidth="1"/>
    <col min="19" max="19" width="3.88671875" style="931" bestFit="1" customWidth="1"/>
    <col min="20" max="20" width="6.21875" style="931" bestFit="1" customWidth="1"/>
    <col min="21" max="22" width="3.88671875" style="931" bestFit="1" customWidth="1"/>
    <col min="23" max="23" width="7.21875" style="931" bestFit="1" customWidth="1"/>
    <col min="24" max="24" width="3.88671875" style="931" bestFit="1" customWidth="1"/>
    <col min="25" max="25" width="7.21875" style="931" bestFit="1" customWidth="1"/>
    <col min="26" max="26" width="3.88671875" style="931" bestFit="1" customWidth="1"/>
    <col min="27" max="16384" width="8.88671875" style="931"/>
  </cols>
  <sheetData>
    <row r="4" spans="1:26" ht="15" customHeight="1" thickBot="1">
      <c r="A4" s="930"/>
      <c r="B4" s="1137" t="s">
        <v>72</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row>
    <row r="5" spans="1:26" ht="15" customHeight="1" thickBot="1">
      <c r="A5" s="930"/>
      <c r="B5" s="932" t="s">
        <v>109</v>
      </c>
      <c r="C5" s="934"/>
      <c r="D5" s="934"/>
      <c r="E5" s="933"/>
      <c r="F5" s="933"/>
      <c r="G5" s="932" t="s">
        <v>94</v>
      </c>
      <c r="H5" s="932" t="s">
        <v>95</v>
      </c>
      <c r="I5" s="933"/>
      <c r="J5" s="932" t="s">
        <v>96</v>
      </c>
      <c r="K5" s="933"/>
      <c r="L5" s="932" t="s">
        <v>97</v>
      </c>
      <c r="M5" s="933"/>
      <c r="N5" s="932" t="s">
        <v>98</v>
      </c>
      <c r="O5" s="933"/>
      <c r="P5" s="932" t="s">
        <v>99</v>
      </c>
      <c r="Q5" s="933"/>
      <c r="R5" s="932" t="s">
        <v>100</v>
      </c>
      <c r="S5" s="933"/>
      <c r="T5" s="932" t="s">
        <v>101</v>
      </c>
      <c r="U5" s="933"/>
      <c r="V5" s="933"/>
      <c r="W5" s="932" t="s">
        <v>106</v>
      </c>
      <c r="X5" s="933"/>
      <c r="Y5" s="932" t="s">
        <v>107</v>
      </c>
      <c r="Z5" s="934"/>
    </row>
    <row r="6" spans="1:26" ht="18.75" thickBot="1">
      <c r="A6" s="935"/>
      <c r="B6" s="936" t="s">
        <v>619</v>
      </c>
      <c r="C6" s="936"/>
      <c r="D6" s="936"/>
      <c r="E6" s="936" t="s">
        <v>602</v>
      </c>
      <c r="F6" s="936" t="s">
        <v>602</v>
      </c>
      <c r="G6" s="936" t="s">
        <v>619</v>
      </c>
      <c r="H6" s="936" t="s">
        <v>619</v>
      </c>
      <c r="I6" s="936" t="s">
        <v>602</v>
      </c>
      <c r="J6" s="936" t="s">
        <v>619</v>
      </c>
      <c r="K6" s="936" t="s">
        <v>602</v>
      </c>
      <c r="L6" s="936" t="s">
        <v>619</v>
      </c>
      <c r="M6" s="936" t="s">
        <v>602</v>
      </c>
      <c r="N6" s="936" t="s">
        <v>619</v>
      </c>
      <c r="O6" s="936" t="s">
        <v>602</v>
      </c>
      <c r="P6" s="936" t="s">
        <v>619</v>
      </c>
      <c r="Q6" s="936" t="s">
        <v>602</v>
      </c>
      <c r="R6" s="936" t="s">
        <v>619</v>
      </c>
      <c r="S6" s="936" t="s">
        <v>602</v>
      </c>
      <c r="T6" s="936" t="s">
        <v>619</v>
      </c>
      <c r="U6" s="936" t="s">
        <v>602</v>
      </c>
      <c r="V6" s="936" t="s">
        <v>602</v>
      </c>
      <c r="W6" s="936" t="s">
        <v>619</v>
      </c>
      <c r="X6" s="936" t="s">
        <v>602</v>
      </c>
      <c r="Y6" s="936" t="s">
        <v>619</v>
      </c>
      <c r="Z6" s="932" t="s">
        <v>602</v>
      </c>
    </row>
    <row r="7" spans="1:26" ht="15.75" thickBot="1">
      <c r="A7" s="937">
        <v>2019</v>
      </c>
      <c r="B7" s="938"/>
      <c r="C7" s="938"/>
      <c r="D7" s="938"/>
      <c r="E7" s="938"/>
      <c r="F7" s="938"/>
      <c r="G7" s="938"/>
      <c r="H7" s="938"/>
      <c r="I7" s="938"/>
      <c r="J7" s="938"/>
      <c r="K7" s="938"/>
      <c r="L7" s="938"/>
      <c r="M7" s="938"/>
      <c r="N7" s="938"/>
      <c r="O7" s="938"/>
      <c r="P7" s="938"/>
      <c r="Q7" s="938"/>
      <c r="R7" s="938"/>
      <c r="S7" s="938"/>
      <c r="T7" s="938"/>
      <c r="U7" s="938"/>
      <c r="V7" s="938"/>
      <c r="W7" s="938"/>
      <c r="X7" s="938"/>
      <c r="Y7" s="938"/>
      <c r="Z7" s="939"/>
    </row>
    <row r="8" spans="1:26" ht="81.75" thickBot="1">
      <c r="A8" s="937" t="s">
        <v>620</v>
      </c>
      <c r="B8" s="940">
        <v>6626142</v>
      </c>
      <c r="C8" s="940"/>
      <c r="D8" s="940"/>
      <c r="E8" s="940">
        <v>4336</v>
      </c>
      <c r="F8" s="941">
        <v>41</v>
      </c>
      <c r="G8" s="940">
        <v>537363</v>
      </c>
      <c r="H8" s="940">
        <v>968669</v>
      </c>
      <c r="I8" s="941">
        <v>687</v>
      </c>
      <c r="J8" s="940">
        <v>151425</v>
      </c>
      <c r="K8" s="941">
        <v>81</v>
      </c>
      <c r="L8" s="940">
        <v>321812</v>
      </c>
      <c r="M8" s="941">
        <v>121</v>
      </c>
      <c r="N8" s="940">
        <v>707821</v>
      </c>
      <c r="O8" s="941">
        <v>413</v>
      </c>
      <c r="P8" s="940">
        <v>563703</v>
      </c>
      <c r="Q8" s="941">
        <v>701</v>
      </c>
      <c r="R8" s="940">
        <v>23492</v>
      </c>
      <c r="S8" s="941">
        <v>13</v>
      </c>
      <c r="T8" s="940">
        <v>12599</v>
      </c>
      <c r="U8" s="941">
        <v>8</v>
      </c>
      <c r="V8" s="941">
        <v>5</v>
      </c>
      <c r="W8" s="940">
        <v>540236</v>
      </c>
      <c r="X8" s="941">
        <v>280</v>
      </c>
      <c r="Y8" s="940">
        <v>199847</v>
      </c>
      <c r="Z8" s="942">
        <v>71</v>
      </c>
    </row>
    <row r="9" spans="1:26" ht="36.75" thickBot="1">
      <c r="A9" s="937" t="s">
        <v>621</v>
      </c>
      <c r="B9" s="940">
        <v>5455777</v>
      </c>
      <c r="C9" s="940"/>
      <c r="D9" s="940"/>
      <c r="E9" s="940">
        <v>9316</v>
      </c>
      <c r="F9" s="941">
        <v>130</v>
      </c>
      <c r="G9" s="940">
        <v>195502</v>
      </c>
      <c r="H9" s="940">
        <v>470919</v>
      </c>
      <c r="I9" s="941">
        <v>865</v>
      </c>
      <c r="J9" s="940">
        <v>88257</v>
      </c>
      <c r="K9" s="941">
        <v>152</v>
      </c>
      <c r="L9" s="940">
        <v>80184</v>
      </c>
      <c r="M9" s="941">
        <v>152</v>
      </c>
      <c r="N9" s="940">
        <v>295882</v>
      </c>
      <c r="O9" s="941">
        <v>503</v>
      </c>
      <c r="P9" s="940">
        <v>819107</v>
      </c>
      <c r="Q9" s="940">
        <v>1475</v>
      </c>
      <c r="R9" s="940">
        <v>54860</v>
      </c>
      <c r="S9" s="941">
        <v>100</v>
      </c>
      <c r="T9" s="940">
        <v>45353</v>
      </c>
      <c r="U9" s="941">
        <v>70</v>
      </c>
      <c r="V9" s="941">
        <v>38</v>
      </c>
      <c r="W9" s="940">
        <v>192707</v>
      </c>
      <c r="X9" s="941">
        <v>353</v>
      </c>
      <c r="Y9" s="940">
        <v>88893</v>
      </c>
      <c r="Z9" s="942">
        <v>150</v>
      </c>
    </row>
    <row r="12" spans="1:26">
      <c r="A12" s="808" t="s">
        <v>622</v>
      </c>
    </row>
    <row r="13" spans="1:26" ht="15.75" thickBot="1">
      <c r="I13" s="943"/>
      <c r="J13" s="943"/>
      <c r="M13" s="943" t="s">
        <v>658</v>
      </c>
    </row>
    <row r="14" spans="1:26" ht="21.75" thickBot="1">
      <c r="I14" s="1071" t="s">
        <v>623</v>
      </c>
      <c r="M14" s="943" t="s">
        <v>659</v>
      </c>
      <c r="V14" s="943" t="s">
        <v>660</v>
      </c>
    </row>
    <row r="15" spans="1:26" ht="24" thickTop="1" thickBot="1">
      <c r="A15" s="945" t="s">
        <v>661</v>
      </c>
      <c r="B15" s="946"/>
      <c r="C15" s="946"/>
      <c r="D15" s="1072"/>
      <c r="I15" s="1028" t="s">
        <v>625</v>
      </c>
      <c r="L15" s="1073" t="s">
        <v>626</v>
      </c>
      <c r="M15" s="1074">
        <v>4000000</v>
      </c>
    </row>
    <row r="16" spans="1:26" ht="46.5" thickTop="1" thickBot="1">
      <c r="A16" s="930"/>
      <c r="B16" s="935"/>
      <c r="C16" s="1075" t="s">
        <v>662</v>
      </c>
      <c r="D16" s="1075" t="s">
        <v>151</v>
      </c>
      <c r="E16" s="1076" t="s">
        <v>663</v>
      </c>
      <c r="F16" s="954" t="s">
        <v>628</v>
      </c>
      <c r="G16" s="1077" t="s">
        <v>664</v>
      </c>
      <c r="I16" s="1078" t="s">
        <v>642</v>
      </c>
      <c r="J16" s="1079" t="s">
        <v>151</v>
      </c>
      <c r="K16" s="1077" t="s">
        <v>665</v>
      </c>
      <c r="L16" s="1080" t="s">
        <v>153</v>
      </c>
      <c r="M16" s="1080" t="s">
        <v>630</v>
      </c>
    </row>
    <row r="17" spans="1:14" ht="16.5" thickTop="1" thickBot="1">
      <c r="A17" s="932" t="s">
        <v>109</v>
      </c>
      <c r="B17" s="932" t="s">
        <v>619</v>
      </c>
      <c r="C17" s="1081">
        <v>36592704</v>
      </c>
      <c r="D17" s="1082">
        <v>17.489999999999998</v>
      </c>
      <c r="E17" s="1083">
        <f>SUM(E18:E49)</f>
        <v>6447139.5575000001</v>
      </c>
      <c r="F17" s="1084">
        <v>0.7</v>
      </c>
      <c r="G17" s="1085">
        <f>$F17*E17</f>
        <v>4512997.69025</v>
      </c>
      <c r="I17" s="1086">
        <v>19156580</v>
      </c>
      <c r="J17" s="1087">
        <v>17.489999999999998</v>
      </c>
      <c r="K17" s="1088">
        <f>SUM(K18:K50)</f>
        <v>3379280.1025</v>
      </c>
      <c r="L17" s="1089">
        <f>SUM(L18:L50)</f>
        <v>1</v>
      </c>
      <c r="M17" s="1090">
        <f>SUM(M18:M50)</f>
        <v>4000000.0000000005</v>
      </c>
      <c r="N17" s="966"/>
    </row>
    <row r="18" spans="1:14" ht="15.75" thickBot="1">
      <c r="A18" s="933"/>
      <c r="B18" s="932" t="s">
        <v>602</v>
      </c>
      <c r="C18" s="1091"/>
      <c r="D18" s="1092"/>
      <c r="E18" s="1093"/>
      <c r="F18" s="1094"/>
      <c r="G18" s="1088"/>
      <c r="H18" s="966"/>
      <c r="I18" s="1095"/>
      <c r="J18" s="1096"/>
      <c r="K18" s="1097"/>
    </row>
    <row r="19" spans="1:14" ht="15.75" thickBot="1">
      <c r="A19" s="932" t="s">
        <v>93</v>
      </c>
      <c r="B19" s="932" t="s">
        <v>619</v>
      </c>
      <c r="C19" s="1098">
        <v>597486</v>
      </c>
      <c r="D19" s="1092">
        <v>17.75</v>
      </c>
      <c r="E19" s="1093">
        <f>C19*D19/100</f>
        <v>106053.765</v>
      </c>
      <c r="F19" s="1094">
        <v>0.7</v>
      </c>
      <c r="G19" s="1088">
        <f>$F19*E19</f>
        <v>74237.635499999989</v>
      </c>
      <c r="I19" s="1086">
        <v>344963</v>
      </c>
      <c r="J19" s="1096">
        <v>17.75</v>
      </c>
      <c r="K19" s="1088">
        <f>I19*J19/100</f>
        <v>61230.932500000003</v>
      </c>
      <c r="L19" s="931">
        <f>K19/$K$17</f>
        <v>1.8119519732827476E-2</v>
      </c>
      <c r="M19" s="966">
        <f>L19*$M$15</f>
        <v>72478.078931309909</v>
      </c>
      <c r="N19" s="966"/>
    </row>
    <row r="20" spans="1:14" ht="15.75" thickBot="1">
      <c r="A20" s="933"/>
      <c r="B20" s="932" t="s">
        <v>602</v>
      </c>
      <c r="C20" s="1091"/>
      <c r="D20" s="1092"/>
      <c r="E20" s="1093"/>
      <c r="F20" s="1094"/>
      <c r="G20" s="1088"/>
      <c r="I20" s="1095"/>
      <c r="J20" s="1096"/>
      <c r="K20" s="1088"/>
    </row>
    <row r="21" spans="1:14" ht="15.75" thickBot="1">
      <c r="A21" s="932" t="s">
        <v>94</v>
      </c>
      <c r="B21" s="932" t="s">
        <v>619</v>
      </c>
      <c r="C21" s="1098">
        <v>1266615</v>
      </c>
      <c r="D21" s="1092">
        <v>18.5</v>
      </c>
      <c r="E21" s="1093">
        <f t="shared" ref="E21:E49" si="0">C21*D21/100</f>
        <v>234323.77499999999</v>
      </c>
      <c r="F21" s="1094">
        <v>0.7</v>
      </c>
      <c r="G21" s="1088">
        <f>$F21*E21</f>
        <v>164026.64249999999</v>
      </c>
      <c r="I21" s="1086">
        <v>722640</v>
      </c>
      <c r="J21" s="1096">
        <v>18.5</v>
      </c>
      <c r="K21" s="1088">
        <f t="shared" ref="K21:K49" si="1">I21*J21/100</f>
        <v>133688.4</v>
      </c>
      <c r="L21" s="931">
        <f>K21/$K$17</f>
        <v>3.9561207104760854E-2</v>
      </c>
      <c r="M21" s="966">
        <f>L21*$M$15</f>
        <v>158244.82841904342</v>
      </c>
    </row>
    <row r="22" spans="1:14" ht="15.75" thickBot="1">
      <c r="A22" s="933"/>
      <c r="B22" s="932" t="s">
        <v>602</v>
      </c>
      <c r="C22" s="1091"/>
      <c r="D22" s="1092"/>
      <c r="E22" s="1093"/>
      <c r="F22" s="1094"/>
      <c r="G22" s="1088"/>
      <c r="I22" s="1095"/>
      <c r="J22" s="1096"/>
      <c r="K22" s="1088"/>
    </row>
    <row r="23" spans="1:14" ht="15.75" thickBot="1">
      <c r="A23" s="932" t="s">
        <v>95</v>
      </c>
      <c r="B23" s="932" t="s">
        <v>619</v>
      </c>
      <c r="C23" s="1098">
        <v>3315159</v>
      </c>
      <c r="D23" s="1092">
        <v>19.5</v>
      </c>
      <c r="E23" s="1093">
        <f t="shared" si="0"/>
        <v>646456.005</v>
      </c>
      <c r="F23" s="1094">
        <v>0.7</v>
      </c>
      <c r="G23" s="1088">
        <f>$F23*E23</f>
        <v>452519.2035</v>
      </c>
      <c r="I23" s="1086">
        <v>1692107</v>
      </c>
      <c r="J23" s="1096">
        <v>19.5</v>
      </c>
      <c r="K23" s="1088">
        <f t="shared" si="1"/>
        <v>329960.86499999999</v>
      </c>
      <c r="L23" s="931">
        <f>K23/$K$17</f>
        <v>9.7642354286019112E-2</v>
      </c>
      <c r="M23" s="966">
        <f>L23*$M$15</f>
        <v>390569.41714407643</v>
      </c>
    </row>
    <row r="24" spans="1:14" ht="15.75" thickBot="1">
      <c r="A24" s="933"/>
      <c r="B24" s="932" t="s">
        <v>602</v>
      </c>
      <c r="C24" s="1091"/>
      <c r="D24" s="1092"/>
      <c r="E24" s="1093"/>
      <c r="F24" s="1094"/>
      <c r="G24" s="1088"/>
      <c r="I24" s="1095"/>
      <c r="J24" s="1096"/>
      <c r="K24" s="1088"/>
    </row>
    <row r="25" spans="1:14" ht="15.75" thickBot="1">
      <c r="A25" s="932" t="s">
        <v>96</v>
      </c>
      <c r="B25" s="932" t="s">
        <v>619</v>
      </c>
      <c r="C25" s="1098">
        <v>687554</v>
      </c>
      <c r="D25" s="1092">
        <v>17.5</v>
      </c>
      <c r="E25" s="1093">
        <f t="shared" si="0"/>
        <v>120321.95</v>
      </c>
      <c r="F25" s="1094">
        <v>0.7</v>
      </c>
      <c r="G25" s="1088">
        <f>$F25*E25</f>
        <v>84225.364999999991</v>
      </c>
      <c r="I25" s="1086">
        <v>380756</v>
      </c>
      <c r="J25" s="1096">
        <v>17.5</v>
      </c>
      <c r="K25" s="1088">
        <f t="shared" si="1"/>
        <v>66632.3</v>
      </c>
      <c r="L25" s="931">
        <f>K25/$K$17</f>
        <v>1.9717897889170315E-2</v>
      </c>
      <c r="M25" s="966">
        <f>L25*$M$15</f>
        <v>78871.591556681262</v>
      </c>
    </row>
    <row r="26" spans="1:14" ht="15.75" thickBot="1">
      <c r="A26" s="933"/>
      <c r="B26" s="932" t="s">
        <v>602</v>
      </c>
      <c r="C26" s="1091"/>
      <c r="D26" s="1092"/>
      <c r="E26" s="1093"/>
      <c r="F26" s="1094"/>
      <c r="G26" s="1088"/>
      <c r="I26" s="1095"/>
      <c r="J26" s="1096"/>
      <c r="K26" s="1088"/>
    </row>
    <row r="27" spans="1:14" ht="15.75" thickBot="1">
      <c r="A27" s="932" t="s">
        <v>97</v>
      </c>
      <c r="B27" s="932" t="s">
        <v>619</v>
      </c>
      <c r="C27" s="1098">
        <v>756582</v>
      </c>
      <c r="D27" s="1092">
        <v>18.5</v>
      </c>
      <c r="E27" s="1093">
        <f t="shared" si="0"/>
        <v>139967.67000000001</v>
      </c>
      <c r="F27" s="1094">
        <v>0.7</v>
      </c>
      <c r="G27" s="1088">
        <f>$F27*E27</f>
        <v>97977.369000000006</v>
      </c>
      <c r="I27" s="1086">
        <v>439309</v>
      </c>
      <c r="J27" s="1096">
        <v>18.5</v>
      </c>
      <c r="K27" s="1088">
        <f t="shared" si="1"/>
        <v>81272.164999999994</v>
      </c>
      <c r="L27" s="931">
        <f>K27/$K$17</f>
        <v>2.405014160852622E-2</v>
      </c>
      <c r="M27" s="966">
        <f>L27*$M$15</f>
        <v>96200.566434104883</v>
      </c>
    </row>
    <row r="28" spans="1:14" ht="15.75" thickBot="1">
      <c r="A28" s="933"/>
      <c r="B28" s="932" t="s">
        <v>602</v>
      </c>
      <c r="C28" s="1091"/>
      <c r="D28" s="1092"/>
      <c r="E28" s="1093"/>
      <c r="F28" s="1094"/>
      <c r="G28" s="1088"/>
      <c r="I28" s="1095"/>
      <c r="J28" s="1096"/>
      <c r="K28" s="1088"/>
    </row>
    <row r="29" spans="1:14" ht="18.75" thickBot="1">
      <c r="A29" s="932" t="s">
        <v>98</v>
      </c>
      <c r="B29" s="932" t="s">
        <v>619</v>
      </c>
      <c r="C29" s="1098">
        <v>2115602</v>
      </c>
      <c r="D29" s="1092">
        <v>18</v>
      </c>
      <c r="E29" s="1093">
        <f t="shared" si="0"/>
        <v>380808.36</v>
      </c>
      <c r="F29" s="1094">
        <v>0.7</v>
      </c>
      <c r="G29" s="1088">
        <f>$F29*E29</f>
        <v>266565.85199999996</v>
      </c>
      <c r="I29" s="1086">
        <v>1136410</v>
      </c>
      <c r="J29" s="1096">
        <v>18</v>
      </c>
      <c r="K29" s="1088">
        <f t="shared" si="1"/>
        <v>204553.8</v>
      </c>
      <c r="L29" s="931">
        <f>K29/$K$17</f>
        <v>6.0531768245156881E-2</v>
      </c>
      <c r="M29" s="966">
        <f>L29*$M$15</f>
        <v>242127.07298062753</v>
      </c>
    </row>
    <row r="30" spans="1:14" ht="15.75" thickBot="1">
      <c r="A30" s="933"/>
      <c r="B30" s="932" t="s">
        <v>602</v>
      </c>
      <c r="C30" s="1091"/>
      <c r="D30" s="1092"/>
      <c r="E30" s="1093"/>
      <c r="F30" s="1094"/>
      <c r="G30" s="1088"/>
      <c r="I30" s="1095"/>
      <c r="J30" s="1096"/>
      <c r="K30" s="1088"/>
    </row>
    <row r="31" spans="1:14" ht="15.75" thickBot="1">
      <c r="A31" s="932" t="s">
        <v>99</v>
      </c>
      <c r="B31" s="932" t="s">
        <v>619</v>
      </c>
      <c r="C31" s="1098">
        <v>5689014</v>
      </c>
      <c r="D31" s="1092">
        <v>16.5</v>
      </c>
      <c r="E31" s="1093">
        <f t="shared" si="0"/>
        <v>938687.31</v>
      </c>
      <c r="F31" s="1094">
        <v>0.7</v>
      </c>
      <c r="G31" s="1088">
        <f>$F31*E31</f>
        <v>657081.11699999997</v>
      </c>
      <c r="I31" s="1086">
        <v>2647567</v>
      </c>
      <c r="J31" s="1096">
        <v>16.5</v>
      </c>
      <c r="K31" s="1088">
        <f t="shared" si="1"/>
        <v>436848.55499999999</v>
      </c>
      <c r="L31" s="931">
        <f>K31/$K$17</f>
        <v>0.12927266806821319</v>
      </c>
      <c r="M31" s="966">
        <f>L31*$M$15</f>
        <v>517090.6722728528</v>
      </c>
    </row>
    <row r="32" spans="1:14" ht="15.75" thickBot="1">
      <c r="A32" s="933"/>
      <c r="B32" s="932" t="s">
        <v>602</v>
      </c>
      <c r="C32" s="1091"/>
      <c r="D32" s="1092"/>
      <c r="E32" s="1093"/>
      <c r="F32" s="1094"/>
      <c r="G32" s="1088"/>
      <c r="I32" s="1095"/>
      <c r="J32" s="1096"/>
      <c r="K32" s="1088"/>
    </row>
    <row r="33" spans="1:18" ht="15.75" thickBot="1">
      <c r="A33" s="932" t="s">
        <v>100</v>
      </c>
      <c r="B33" s="932" t="s">
        <v>619</v>
      </c>
      <c r="C33" s="1098">
        <v>406423</v>
      </c>
      <c r="D33" s="1092">
        <v>18.5</v>
      </c>
      <c r="E33" s="1093">
        <f t="shared" si="0"/>
        <v>75188.255000000005</v>
      </c>
      <c r="F33" s="1094">
        <v>0.7</v>
      </c>
      <c r="G33" s="1088">
        <f>$F33*E33</f>
        <v>52631.7785</v>
      </c>
      <c r="I33" s="1086">
        <v>243463</v>
      </c>
      <c r="J33" s="1096">
        <v>18.5</v>
      </c>
      <c r="K33" s="1088">
        <f t="shared" si="1"/>
        <v>45040.654999999999</v>
      </c>
      <c r="L33" s="931">
        <f>K33/$K$17</f>
        <v>1.332847637183991E-2</v>
      </c>
      <c r="M33" s="966">
        <f>L33*$M$15</f>
        <v>53313.90548735964</v>
      </c>
    </row>
    <row r="34" spans="1:18" ht="15.75" thickBot="1">
      <c r="A34" s="933"/>
      <c r="B34" s="932" t="s">
        <v>602</v>
      </c>
      <c r="C34" s="1091"/>
      <c r="D34" s="1092"/>
      <c r="E34" s="1093"/>
      <c r="F34" s="1094"/>
      <c r="G34" s="1088"/>
      <c r="I34" s="1095"/>
      <c r="J34" s="1096"/>
      <c r="K34" s="1088"/>
    </row>
    <row r="35" spans="1:18" ht="15.75" thickBot="1">
      <c r="A35" s="932" t="s">
        <v>101</v>
      </c>
      <c r="B35" s="932" t="s">
        <v>619</v>
      </c>
      <c r="C35" s="1098">
        <v>346680</v>
      </c>
      <c r="D35" s="1092">
        <v>19.75</v>
      </c>
      <c r="E35" s="1093">
        <f t="shared" si="0"/>
        <v>68469.3</v>
      </c>
      <c r="F35" s="1094">
        <v>0.7</v>
      </c>
      <c r="G35" s="1088">
        <f>$F35*E35</f>
        <v>47928.51</v>
      </c>
      <c r="I35" s="1086">
        <v>208986</v>
      </c>
      <c r="J35" s="1096">
        <v>19.75</v>
      </c>
      <c r="K35" s="1088">
        <f t="shared" si="1"/>
        <v>41274.735000000001</v>
      </c>
      <c r="L35" s="931">
        <f>K35/$K$17</f>
        <v>1.2214061500692069E-2</v>
      </c>
      <c r="M35" s="966">
        <f>L35*$M$15</f>
        <v>48856.246002768276</v>
      </c>
      <c r="R35" s="966"/>
    </row>
    <row r="36" spans="1:18" ht="15.75" thickBot="1">
      <c r="A36" s="933"/>
      <c r="B36" s="932" t="s">
        <v>602</v>
      </c>
      <c r="C36" s="1091"/>
      <c r="D36" s="1092"/>
      <c r="E36" s="1093"/>
      <c r="F36" s="1094"/>
      <c r="G36" s="1088"/>
      <c r="I36" s="1095"/>
      <c r="J36" s="1096"/>
      <c r="K36" s="1088"/>
    </row>
    <row r="37" spans="1:18" ht="15.75" thickBot="1">
      <c r="A37" s="932" t="s">
        <v>102</v>
      </c>
      <c r="B37" s="932" t="s">
        <v>619</v>
      </c>
      <c r="C37" s="1098">
        <v>2334784</v>
      </c>
      <c r="D37" s="1092">
        <v>17.5</v>
      </c>
      <c r="E37" s="1093">
        <f t="shared" si="0"/>
        <v>408587.2</v>
      </c>
      <c r="F37" s="1094">
        <v>0.7</v>
      </c>
      <c r="G37" s="1088">
        <f>$F37*E37</f>
        <v>286011.03999999998</v>
      </c>
      <c r="I37" s="1086">
        <v>1190080</v>
      </c>
      <c r="J37" s="1096">
        <v>17.5</v>
      </c>
      <c r="K37" s="1088">
        <f t="shared" si="1"/>
        <v>208264</v>
      </c>
      <c r="L37" s="931">
        <f>K37/$K$17</f>
        <v>6.1629694397314319E-2</v>
      </c>
      <c r="M37" s="966">
        <f>L37*$M$15</f>
        <v>246518.77758925728</v>
      </c>
    </row>
    <row r="38" spans="1:18" ht="15.75" thickBot="1">
      <c r="A38" s="933"/>
      <c r="B38" s="932" t="s">
        <v>602</v>
      </c>
      <c r="C38" s="1091"/>
      <c r="D38" s="1092"/>
      <c r="E38" s="1093"/>
      <c r="F38" s="1094"/>
      <c r="G38" s="1088"/>
      <c r="I38" s="1095"/>
      <c r="J38" s="1096"/>
      <c r="K38" s="1088"/>
    </row>
    <row r="39" spans="1:18" ht="18.75" thickBot="1">
      <c r="A39" s="932" t="s">
        <v>103</v>
      </c>
      <c r="B39" s="932" t="s">
        <v>619</v>
      </c>
      <c r="C39" s="1098">
        <v>473439</v>
      </c>
      <c r="D39" s="1092">
        <v>19.5</v>
      </c>
      <c r="E39" s="1093">
        <f t="shared" si="0"/>
        <v>92320.604999999996</v>
      </c>
      <c r="F39" s="1094">
        <v>0.7</v>
      </c>
      <c r="G39" s="1088">
        <f>$F39*E39</f>
        <v>64624.42349999999</v>
      </c>
      <c r="I39" s="1086">
        <v>257318</v>
      </c>
      <c r="J39" s="1096">
        <v>19.5</v>
      </c>
      <c r="K39" s="1088">
        <f t="shared" si="1"/>
        <v>50177.01</v>
      </c>
      <c r="L39" s="931">
        <f>K39/$K$17</f>
        <v>1.4848431760030464E-2</v>
      </c>
      <c r="M39" s="966">
        <f>L39*$M$15</f>
        <v>59393.727040121856</v>
      </c>
    </row>
    <row r="40" spans="1:18" ht="15.75" thickBot="1">
      <c r="A40" s="933"/>
      <c r="B40" s="932" t="s">
        <v>602</v>
      </c>
      <c r="C40" s="1091"/>
      <c r="D40" s="1092"/>
      <c r="E40" s="1093"/>
      <c r="F40" s="1094"/>
      <c r="G40" s="1088"/>
      <c r="I40" s="1095"/>
      <c r="J40" s="1096"/>
      <c r="K40" s="1088"/>
    </row>
    <row r="41" spans="1:18" ht="18.75" thickBot="1">
      <c r="A41" s="932" t="s">
        <v>108</v>
      </c>
      <c r="B41" s="932" t="s">
        <v>619</v>
      </c>
      <c r="C41" s="1098">
        <v>14339405</v>
      </c>
      <c r="D41" s="1092">
        <v>17</v>
      </c>
      <c r="E41" s="1093">
        <f t="shared" si="0"/>
        <v>2437698.85</v>
      </c>
      <c r="F41" s="1094">
        <v>0.7</v>
      </c>
      <c r="G41" s="1088">
        <f>$F41*E41</f>
        <v>1706389.1950000001</v>
      </c>
      <c r="I41" s="1086">
        <v>7654623</v>
      </c>
      <c r="J41" s="1096">
        <v>17</v>
      </c>
      <c r="K41" s="1088">
        <f t="shared" si="1"/>
        <v>1301285.9099999999</v>
      </c>
      <c r="L41" s="931">
        <f>K41/$K$17</f>
        <v>0.38507784810063694</v>
      </c>
      <c r="M41" s="966">
        <f>L41*$M$15</f>
        <v>1540311.3924025479</v>
      </c>
    </row>
    <row r="42" spans="1:18" ht="15.75" thickBot="1">
      <c r="A42" s="933"/>
      <c r="B42" s="932" t="s">
        <v>602</v>
      </c>
      <c r="C42" s="1091"/>
      <c r="D42" s="1092"/>
      <c r="E42" s="1093"/>
      <c r="F42" s="1094"/>
      <c r="G42" s="1088"/>
      <c r="I42" s="1095"/>
      <c r="J42" s="1096"/>
      <c r="K42" s="1088"/>
    </row>
    <row r="43" spans="1:18" ht="15.75" thickBot="1">
      <c r="A43" s="932" t="s">
        <v>104</v>
      </c>
      <c r="B43" s="932" t="s">
        <v>619</v>
      </c>
      <c r="C43" s="1098">
        <v>2232037</v>
      </c>
      <c r="D43" s="1092">
        <v>18.25</v>
      </c>
      <c r="E43" s="1093">
        <f t="shared" si="0"/>
        <v>407346.7525</v>
      </c>
      <c r="F43" s="1094">
        <v>0.7</v>
      </c>
      <c r="G43" s="1088">
        <f>$F43*E43</f>
        <v>285142.72674999997</v>
      </c>
      <c r="I43" s="1086">
        <v>1136858</v>
      </c>
      <c r="J43" s="1096">
        <v>18.25</v>
      </c>
      <c r="K43" s="1088">
        <f t="shared" si="1"/>
        <v>207476.58499999999</v>
      </c>
      <c r="L43" s="931">
        <f>K43/$K$17</f>
        <v>6.1396681750799022E-2</v>
      </c>
      <c r="M43" s="966">
        <f>L43*$M$15</f>
        <v>245586.72700319608</v>
      </c>
    </row>
    <row r="44" spans="1:18" ht="15.75" thickBot="1">
      <c r="A44" s="933"/>
      <c r="B44" s="932" t="s">
        <v>602</v>
      </c>
      <c r="C44" s="1091"/>
      <c r="D44" s="1092"/>
      <c r="E44" s="1093"/>
      <c r="F44" s="1094"/>
      <c r="G44" s="1088"/>
      <c r="I44" s="1095"/>
      <c r="J44" s="1096"/>
      <c r="K44" s="1088"/>
    </row>
    <row r="45" spans="1:18" ht="15.75" thickBot="1">
      <c r="A45" s="932" t="s">
        <v>105</v>
      </c>
      <c r="B45" s="932" t="s">
        <v>619</v>
      </c>
      <c r="C45" s="1098">
        <v>148382</v>
      </c>
      <c r="D45" s="1092">
        <v>18</v>
      </c>
      <c r="E45" s="1093">
        <f t="shared" si="0"/>
        <v>26708.76</v>
      </c>
      <c r="F45" s="1094">
        <v>0.7</v>
      </c>
      <c r="G45" s="1088">
        <f>$F45*E45</f>
        <v>18696.131999999998</v>
      </c>
      <c r="I45" s="1086">
        <v>95465</v>
      </c>
      <c r="J45" s="1096">
        <v>18</v>
      </c>
      <c r="K45" s="1088">
        <f t="shared" si="1"/>
        <v>17183.7</v>
      </c>
      <c r="L45" s="931">
        <f>K45/$K$17</f>
        <v>5.0850179561284237E-3</v>
      </c>
      <c r="M45" s="966">
        <f>L45*$M$15</f>
        <v>20340.071824513696</v>
      </c>
    </row>
    <row r="46" spans="1:18" ht="15.75" thickBot="1">
      <c r="A46" s="933"/>
      <c r="B46" s="932" t="s">
        <v>602</v>
      </c>
      <c r="C46" s="1091"/>
      <c r="D46" s="1092"/>
      <c r="E46" s="1093"/>
      <c r="F46" s="1094"/>
      <c r="G46" s="1088"/>
      <c r="I46" s="1095"/>
      <c r="J46" s="1096"/>
      <c r="K46" s="1088"/>
    </row>
    <row r="47" spans="1:18" ht="15.75" thickBot="1">
      <c r="A47" s="932" t="s">
        <v>106</v>
      </c>
      <c r="B47" s="932" t="s">
        <v>619</v>
      </c>
      <c r="C47" s="1098">
        <v>1265642</v>
      </c>
      <c r="D47" s="1092">
        <v>19.5</v>
      </c>
      <c r="E47" s="1093">
        <f t="shared" si="0"/>
        <v>246800.19</v>
      </c>
      <c r="F47" s="1094">
        <v>0.7</v>
      </c>
      <c r="G47" s="1088">
        <f>$F47*E47</f>
        <v>172760.133</v>
      </c>
      <c r="I47" s="1086">
        <v>648692</v>
      </c>
      <c r="J47" s="1096">
        <v>19.5</v>
      </c>
      <c r="K47" s="1088">
        <f t="shared" si="1"/>
        <v>126494.94</v>
      </c>
      <c r="L47" s="931">
        <f>K47/$K$17</f>
        <v>3.7432511115731044E-2</v>
      </c>
      <c r="M47" s="966">
        <f>L47*$M$15</f>
        <v>149730.04446292418</v>
      </c>
    </row>
    <row r="48" spans="1:18" ht="15.75" thickBot="1">
      <c r="A48" s="933"/>
      <c r="B48" s="932" t="s">
        <v>602</v>
      </c>
      <c r="C48" s="1098"/>
      <c r="D48" s="1092"/>
      <c r="E48" s="1093"/>
      <c r="F48" s="1094"/>
      <c r="G48" s="1088"/>
      <c r="I48" s="1086"/>
      <c r="J48" s="1096"/>
      <c r="K48" s="1088"/>
    </row>
    <row r="49" spans="1:16" ht="15.75" thickBot="1">
      <c r="A49" s="932" t="s">
        <v>107</v>
      </c>
      <c r="B49" s="932" t="s">
        <v>619</v>
      </c>
      <c r="C49" s="1098">
        <v>617899</v>
      </c>
      <c r="D49" s="1092">
        <v>19</v>
      </c>
      <c r="E49" s="1093">
        <f t="shared" si="0"/>
        <v>117400.81</v>
      </c>
      <c r="F49" s="1094">
        <v>0.7</v>
      </c>
      <c r="G49" s="1088">
        <f>$F49*E49</f>
        <v>82180.566999999995</v>
      </c>
      <c r="I49" s="1086">
        <v>357345</v>
      </c>
      <c r="J49" s="1096">
        <v>19</v>
      </c>
      <c r="K49" s="1088">
        <f t="shared" si="1"/>
        <v>67895.55</v>
      </c>
      <c r="L49" s="931">
        <f>K49/$K$17</f>
        <v>2.0091720112153683E-2</v>
      </c>
      <c r="M49" s="966">
        <f>L49*$M$15</f>
        <v>80366.880448614727</v>
      </c>
    </row>
    <row r="50" spans="1:16" ht="15.75" thickBot="1">
      <c r="A50" s="934"/>
      <c r="B50" s="932" t="s">
        <v>602</v>
      </c>
      <c r="C50" s="1099"/>
      <c r="D50" s="1100"/>
      <c r="E50" s="1101"/>
      <c r="F50" s="994"/>
      <c r="G50" s="995"/>
      <c r="I50" s="1102"/>
      <c r="J50" s="1103"/>
      <c r="K50" s="995"/>
    </row>
    <row r="51" spans="1:16">
      <c r="C51" s="1104"/>
      <c r="I51" s="1104"/>
      <c r="M51" s="1104">
        <f>SUM(M18:M50)</f>
        <v>4000000.0000000005</v>
      </c>
    </row>
    <row r="52" spans="1:16">
      <c r="I52" s="1104">
        <f>I17</f>
        <v>19156580</v>
      </c>
      <c r="M52" s="1104">
        <f>M17</f>
        <v>4000000.0000000005</v>
      </c>
    </row>
    <row r="54" spans="1:16" s="1105" customFormat="1"/>
    <row r="55" spans="1:16" s="1105" customFormat="1"/>
    <row r="57" spans="1:16">
      <c r="J57" s="1106"/>
      <c r="K57" s="1106"/>
    </row>
    <row r="58" spans="1:16" ht="0.75" customHeight="1" thickBot="1"/>
    <row r="59" spans="1:16" ht="15" customHeight="1">
      <c r="B59" s="1032"/>
      <c r="C59" s="1032"/>
      <c r="D59" s="1032"/>
      <c r="E59" s="1032"/>
      <c r="F59" s="1139" t="s">
        <v>652</v>
      </c>
      <c r="G59" s="1141">
        <v>4000000</v>
      </c>
      <c r="J59" s="1139" t="s">
        <v>653</v>
      </c>
      <c r="K59" s="1141">
        <v>4512998</v>
      </c>
    </row>
    <row r="60" spans="1:16" ht="33" customHeight="1" thickBot="1">
      <c r="B60" s="1032"/>
      <c r="C60" s="524"/>
      <c r="D60" s="1032"/>
      <c r="E60" s="1032"/>
      <c r="F60" s="1140"/>
      <c r="G60" s="1142"/>
      <c r="I60" s="1030"/>
      <c r="J60" s="1140"/>
      <c r="K60" s="1142"/>
      <c r="L60" s="1107"/>
    </row>
    <row r="61" spans="1:16" ht="111.75" thickTop="1" thickBot="1">
      <c r="B61" s="1032"/>
      <c r="C61" s="1108" t="s">
        <v>150</v>
      </c>
      <c r="D61" s="526" t="s">
        <v>151</v>
      </c>
      <c r="E61" s="1109" t="s">
        <v>666</v>
      </c>
      <c r="F61" s="528" t="s">
        <v>153</v>
      </c>
      <c r="G61" s="528" t="s">
        <v>154</v>
      </c>
      <c r="H61" s="1110" t="s">
        <v>667</v>
      </c>
      <c r="I61" s="1123" t="s">
        <v>666</v>
      </c>
      <c r="J61" s="1111" t="s">
        <v>628</v>
      </c>
      <c r="K61" s="1112" t="s">
        <v>668</v>
      </c>
      <c r="L61" s="1113" t="s">
        <v>669</v>
      </c>
    </row>
    <row r="62" spans="1:16" ht="19.5" thickBot="1">
      <c r="B62" s="1041" t="s">
        <v>109</v>
      </c>
      <c r="C62" s="1042">
        <v>19156580</v>
      </c>
      <c r="D62" s="1043">
        <v>17.489999999999998</v>
      </c>
      <c r="E62" s="1044">
        <v>3379280.1025</v>
      </c>
      <c r="F62" s="1114">
        <v>1</v>
      </c>
      <c r="G62" s="1046">
        <v>4000000.0000000005</v>
      </c>
      <c r="H62" s="1115">
        <v>36592704</v>
      </c>
      <c r="I62" s="1124">
        <v>6447139.5575000001</v>
      </c>
      <c r="J62" s="1116">
        <v>0.7</v>
      </c>
      <c r="K62" s="1050">
        <v>4512997.69025</v>
      </c>
      <c r="L62" s="1117">
        <f>K62-G62</f>
        <v>512997.69024999952</v>
      </c>
      <c r="P62" s="966"/>
    </row>
    <row r="63" spans="1:16" ht="19.5" thickBot="1">
      <c r="B63" s="1053" t="s">
        <v>93</v>
      </c>
      <c r="C63" s="1042">
        <v>344963</v>
      </c>
      <c r="D63" s="1054">
        <v>17.75</v>
      </c>
      <c r="E63" s="1055">
        <v>61230.932500000003</v>
      </c>
      <c r="F63" s="1118">
        <v>1.8119519732827476E-2</v>
      </c>
      <c r="G63" s="1046">
        <v>72478.078931309909</v>
      </c>
      <c r="H63" s="1115">
        <v>597486</v>
      </c>
      <c r="I63" s="1124">
        <v>106053.765</v>
      </c>
      <c r="J63" s="1116">
        <v>0.7</v>
      </c>
      <c r="K63" s="1058">
        <v>74237.635499999989</v>
      </c>
      <c r="L63" s="1117">
        <f t="shared" ref="L63:L78" si="2">K63-G63</f>
        <v>1759.5565686900809</v>
      </c>
      <c r="P63" s="966"/>
    </row>
    <row r="64" spans="1:16" ht="19.5" thickBot="1">
      <c r="B64" s="1053" t="s">
        <v>94</v>
      </c>
      <c r="C64" s="1042">
        <v>722640</v>
      </c>
      <c r="D64" s="1054">
        <v>18.5</v>
      </c>
      <c r="E64" s="1055">
        <v>133688.4</v>
      </c>
      <c r="F64" s="1118">
        <v>3.9561207104760854E-2</v>
      </c>
      <c r="G64" s="1046">
        <v>158244.82841904342</v>
      </c>
      <c r="H64" s="1115">
        <v>1266615</v>
      </c>
      <c r="I64" s="1124">
        <v>234323.77499999999</v>
      </c>
      <c r="J64" s="1116">
        <v>0.7</v>
      </c>
      <c r="K64" s="1058">
        <v>164026.64249999999</v>
      </c>
      <c r="L64" s="1117">
        <f t="shared" si="2"/>
        <v>5781.8140809565666</v>
      </c>
      <c r="P64" s="966"/>
    </row>
    <row r="65" spans="2:16" ht="19.5" thickBot="1">
      <c r="B65" s="1053" t="s">
        <v>95</v>
      </c>
      <c r="C65" s="1042">
        <v>1692107</v>
      </c>
      <c r="D65" s="1054">
        <v>19.5</v>
      </c>
      <c r="E65" s="1055">
        <v>329960.86499999999</v>
      </c>
      <c r="F65" s="1118">
        <v>9.7642354286019112E-2</v>
      </c>
      <c r="G65" s="1046">
        <v>390569.41714407643</v>
      </c>
      <c r="H65" s="1115">
        <v>3315159</v>
      </c>
      <c r="I65" s="1124">
        <v>646456.005</v>
      </c>
      <c r="J65" s="1116">
        <v>0.7</v>
      </c>
      <c r="K65" s="1058">
        <v>452519.2035</v>
      </c>
      <c r="L65" s="1117">
        <f t="shared" si="2"/>
        <v>61949.78635592357</v>
      </c>
      <c r="P65" s="966"/>
    </row>
    <row r="66" spans="2:16" ht="19.5" thickBot="1">
      <c r="B66" s="1053" t="s">
        <v>96</v>
      </c>
      <c r="C66" s="1042">
        <v>380756</v>
      </c>
      <c r="D66" s="1054">
        <v>17.5</v>
      </c>
      <c r="E66" s="1055">
        <v>66632.3</v>
      </c>
      <c r="F66" s="1118">
        <v>1.9717897889170315E-2</v>
      </c>
      <c r="G66" s="1046">
        <v>78871.591556681262</v>
      </c>
      <c r="H66" s="1115">
        <v>687554</v>
      </c>
      <c r="I66" s="1124">
        <v>120321.95</v>
      </c>
      <c r="J66" s="1116">
        <v>0.7</v>
      </c>
      <c r="K66" s="1058">
        <v>84225.364999999991</v>
      </c>
      <c r="L66" s="1117">
        <f t="shared" si="2"/>
        <v>5353.7734433187288</v>
      </c>
      <c r="P66" s="966"/>
    </row>
    <row r="67" spans="2:16" ht="19.5" thickBot="1">
      <c r="B67" s="1053" t="s">
        <v>97</v>
      </c>
      <c r="C67" s="1042">
        <v>439309</v>
      </c>
      <c r="D67" s="1054">
        <v>18.5</v>
      </c>
      <c r="E67" s="1055">
        <v>81272.164999999994</v>
      </c>
      <c r="F67" s="1118">
        <v>2.405014160852622E-2</v>
      </c>
      <c r="G67" s="1046">
        <v>96200.566434104883</v>
      </c>
      <c r="H67" s="1115">
        <v>756582</v>
      </c>
      <c r="I67" s="1124">
        <v>139967.67000000001</v>
      </c>
      <c r="J67" s="1116">
        <v>0.7</v>
      </c>
      <c r="K67" s="1058">
        <v>97977.369000000006</v>
      </c>
      <c r="L67" s="1117">
        <f t="shared" si="2"/>
        <v>1776.8025658951228</v>
      </c>
      <c r="P67" s="966"/>
    </row>
    <row r="68" spans="2:16" ht="18" customHeight="1" thickBot="1">
      <c r="B68" s="1053" t="s">
        <v>98</v>
      </c>
      <c r="C68" s="1042">
        <v>1136410</v>
      </c>
      <c r="D68" s="1054">
        <v>18</v>
      </c>
      <c r="E68" s="1055">
        <v>204553.8</v>
      </c>
      <c r="F68" s="1118">
        <v>6.0531768245156881E-2</v>
      </c>
      <c r="G68" s="1046">
        <v>242127.07298062753</v>
      </c>
      <c r="H68" s="1115">
        <v>2115602</v>
      </c>
      <c r="I68" s="1124">
        <v>380808.36</v>
      </c>
      <c r="J68" s="1116">
        <v>0.7</v>
      </c>
      <c r="K68" s="1058">
        <v>266565.85199999996</v>
      </c>
      <c r="L68" s="1117">
        <f t="shared" si="2"/>
        <v>24438.779019372421</v>
      </c>
      <c r="P68" s="966"/>
    </row>
    <row r="69" spans="2:16" ht="19.5" thickBot="1">
      <c r="B69" s="1053" t="s">
        <v>99</v>
      </c>
      <c r="C69" s="1042">
        <v>2647567</v>
      </c>
      <c r="D69" s="1054">
        <v>16.5</v>
      </c>
      <c r="E69" s="1055">
        <v>436848.55499999999</v>
      </c>
      <c r="F69" s="1118">
        <v>0.12927266806821319</v>
      </c>
      <c r="G69" s="1046">
        <v>517090.6722728528</v>
      </c>
      <c r="H69" s="1115">
        <v>5689014</v>
      </c>
      <c r="I69" s="1124">
        <v>938687.31</v>
      </c>
      <c r="J69" s="1116">
        <v>0.7</v>
      </c>
      <c r="K69" s="1058">
        <v>657081.11699999997</v>
      </c>
      <c r="L69" s="1117">
        <f t="shared" si="2"/>
        <v>139990.44472714717</v>
      </c>
      <c r="P69" s="966"/>
    </row>
    <row r="70" spans="2:16" ht="19.5" thickBot="1">
      <c r="B70" s="1053" t="s">
        <v>100</v>
      </c>
      <c r="C70" s="1042">
        <v>243463</v>
      </c>
      <c r="D70" s="1054">
        <v>18.5</v>
      </c>
      <c r="E70" s="1055">
        <v>45040.654999999999</v>
      </c>
      <c r="F70" s="1118">
        <v>1.332847637183991E-2</v>
      </c>
      <c r="G70" s="1046">
        <v>53313.90548735964</v>
      </c>
      <c r="H70" s="1115">
        <v>406423</v>
      </c>
      <c r="I70" s="1124">
        <v>75188.255000000005</v>
      </c>
      <c r="J70" s="1116">
        <v>0.7</v>
      </c>
      <c r="K70" s="1058">
        <v>52631.7785</v>
      </c>
      <c r="L70" s="1117">
        <f t="shared" si="2"/>
        <v>-682.12698735963932</v>
      </c>
      <c r="P70" s="966"/>
    </row>
    <row r="71" spans="2:16" ht="19.5" thickBot="1">
      <c r="B71" s="1053" t="s">
        <v>101</v>
      </c>
      <c r="C71" s="1042">
        <v>208986</v>
      </c>
      <c r="D71" s="1054">
        <v>19.75</v>
      </c>
      <c r="E71" s="1055">
        <v>41274.735000000001</v>
      </c>
      <c r="F71" s="1118">
        <v>1.2214061500692069E-2</v>
      </c>
      <c r="G71" s="1046">
        <v>48856.246002768276</v>
      </c>
      <c r="H71" s="1115">
        <v>346680</v>
      </c>
      <c r="I71" s="1124">
        <v>68469.3</v>
      </c>
      <c r="J71" s="1116">
        <v>0.7</v>
      </c>
      <c r="K71" s="1058">
        <v>47928.51</v>
      </c>
      <c r="L71" s="1117">
        <f t="shared" si="2"/>
        <v>-927.73600276827347</v>
      </c>
      <c r="P71" s="966"/>
    </row>
    <row r="72" spans="2:16" ht="19.5" thickBot="1">
      <c r="B72" s="1053" t="s">
        <v>102</v>
      </c>
      <c r="C72" s="1042">
        <v>1190080</v>
      </c>
      <c r="D72" s="1054">
        <v>17.5</v>
      </c>
      <c r="E72" s="1055">
        <v>208264</v>
      </c>
      <c r="F72" s="1118">
        <v>6.1629694397314319E-2</v>
      </c>
      <c r="G72" s="1046">
        <v>246518.77758925728</v>
      </c>
      <c r="H72" s="1115">
        <v>2334784</v>
      </c>
      <c r="I72" s="1124">
        <v>408587.2</v>
      </c>
      <c r="J72" s="1116">
        <v>0.7</v>
      </c>
      <c r="K72" s="1058">
        <v>286011.03999999998</v>
      </c>
      <c r="L72" s="1117">
        <f t="shared" si="2"/>
        <v>39492.262410742696</v>
      </c>
      <c r="P72" s="966"/>
    </row>
    <row r="73" spans="2:16" ht="19.5" thickBot="1">
      <c r="B73" s="1053" t="s">
        <v>103</v>
      </c>
      <c r="C73" s="1042">
        <v>257318</v>
      </c>
      <c r="D73" s="1054">
        <v>19.5</v>
      </c>
      <c r="E73" s="1055">
        <v>50177.01</v>
      </c>
      <c r="F73" s="1118">
        <v>1.4848431760030464E-2</v>
      </c>
      <c r="G73" s="1046">
        <v>59393.727040121856</v>
      </c>
      <c r="H73" s="1115">
        <v>473439</v>
      </c>
      <c r="I73" s="1124">
        <v>92320.604999999996</v>
      </c>
      <c r="J73" s="1116">
        <v>0.7</v>
      </c>
      <c r="K73" s="1058">
        <v>64624.42349999999</v>
      </c>
      <c r="L73" s="1117">
        <f t="shared" si="2"/>
        <v>5230.6964598781342</v>
      </c>
      <c r="P73" s="966"/>
    </row>
    <row r="74" spans="2:16" ht="19.5" thickBot="1">
      <c r="B74" s="1053" t="s">
        <v>108</v>
      </c>
      <c r="C74" s="1042">
        <v>7654623</v>
      </c>
      <c r="D74" s="1054">
        <v>17</v>
      </c>
      <c r="E74" s="1055">
        <v>1301285.9099999999</v>
      </c>
      <c r="F74" s="1118">
        <v>0.38507784810063694</v>
      </c>
      <c r="G74" s="1046">
        <v>1540311.3924025479</v>
      </c>
      <c r="H74" s="1115">
        <v>14339405</v>
      </c>
      <c r="I74" s="1124">
        <v>2437698.85</v>
      </c>
      <c r="J74" s="1116">
        <v>0.7</v>
      </c>
      <c r="K74" s="1058">
        <v>1706389.1950000001</v>
      </c>
      <c r="L74" s="1117">
        <f t="shared" si="2"/>
        <v>166077.80259745219</v>
      </c>
      <c r="P74" s="966"/>
    </row>
    <row r="75" spans="2:16" ht="19.5" thickBot="1">
      <c r="B75" s="1053" t="s">
        <v>104</v>
      </c>
      <c r="C75" s="1042">
        <v>1136858</v>
      </c>
      <c r="D75" s="1054">
        <v>18.25</v>
      </c>
      <c r="E75" s="1055">
        <v>207476.58499999999</v>
      </c>
      <c r="F75" s="1118">
        <v>6.1396681750799022E-2</v>
      </c>
      <c r="G75" s="1046">
        <v>245586.72700319608</v>
      </c>
      <c r="H75" s="1115">
        <v>2232037</v>
      </c>
      <c r="I75" s="1124">
        <v>407346.7525</v>
      </c>
      <c r="J75" s="1116">
        <v>0.7</v>
      </c>
      <c r="K75" s="1058">
        <v>285142.72674999997</v>
      </c>
      <c r="L75" s="1117">
        <f t="shared" si="2"/>
        <v>39555.999746803893</v>
      </c>
      <c r="P75" s="966"/>
    </row>
    <row r="76" spans="2:16" ht="19.5" thickBot="1">
      <c r="B76" s="1053" t="s">
        <v>105</v>
      </c>
      <c r="C76" s="1042">
        <v>95465</v>
      </c>
      <c r="D76" s="1054">
        <v>18</v>
      </c>
      <c r="E76" s="1055">
        <v>17183.7</v>
      </c>
      <c r="F76" s="1118">
        <v>5.0850179561284237E-3</v>
      </c>
      <c r="G76" s="1046">
        <v>20340.071824513696</v>
      </c>
      <c r="H76" s="1115">
        <v>148382</v>
      </c>
      <c r="I76" s="1124">
        <v>26708.76</v>
      </c>
      <c r="J76" s="1116">
        <v>0.7</v>
      </c>
      <c r="K76" s="1058">
        <v>18696.131999999998</v>
      </c>
      <c r="L76" s="1117">
        <f t="shared" si="2"/>
        <v>-1643.9398245136981</v>
      </c>
      <c r="P76" s="966"/>
    </row>
    <row r="77" spans="2:16" ht="19.5" thickBot="1">
      <c r="B77" s="1053" t="s">
        <v>106</v>
      </c>
      <c r="C77" s="1042">
        <v>648692</v>
      </c>
      <c r="D77" s="1054">
        <v>19.5</v>
      </c>
      <c r="E77" s="1055">
        <v>126494.94</v>
      </c>
      <c r="F77" s="1118">
        <v>3.7432511115731044E-2</v>
      </c>
      <c r="G77" s="1046">
        <v>149730.04446292418</v>
      </c>
      <c r="H77" s="1115">
        <v>1265642</v>
      </c>
      <c r="I77" s="1124">
        <v>246800.19</v>
      </c>
      <c r="J77" s="1116">
        <v>0.7</v>
      </c>
      <c r="K77" s="1058">
        <v>172760.133</v>
      </c>
      <c r="L77" s="1117">
        <f t="shared" si="2"/>
        <v>23030.088537075819</v>
      </c>
      <c r="P77" s="966"/>
    </row>
    <row r="78" spans="2:16" ht="19.5" thickBot="1">
      <c r="B78" s="1060" t="s">
        <v>107</v>
      </c>
      <c r="C78" s="1061">
        <v>357345</v>
      </c>
      <c r="D78" s="1062">
        <v>19</v>
      </c>
      <c r="E78" s="1063">
        <v>67895.55</v>
      </c>
      <c r="F78" s="1119">
        <v>2.0091720112153683E-2</v>
      </c>
      <c r="G78" s="1065">
        <v>80366.880448614727</v>
      </c>
      <c r="H78" s="1120">
        <v>617899</v>
      </c>
      <c r="I78" s="1125">
        <v>117400.81</v>
      </c>
      <c r="J78" s="1121">
        <v>0.7</v>
      </c>
      <c r="K78" s="1069">
        <v>82180.566999999995</v>
      </c>
      <c r="L78" s="1122">
        <f t="shared" si="2"/>
        <v>1813.6865513852681</v>
      </c>
      <c r="P78" s="966"/>
    </row>
    <row r="79" spans="2:16">
      <c r="P79" s="966"/>
    </row>
    <row r="80" spans="2:16">
      <c r="H80" s="966"/>
      <c r="P80" s="966"/>
    </row>
    <row r="81" spans="16:16">
      <c r="P81" s="966"/>
    </row>
    <row r="82" spans="16:16">
      <c r="P82" s="966"/>
    </row>
    <row r="83" spans="16:16">
      <c r="P83" s="966"/>
    </row>
    <row r="84" spans="16:16">
      <c r="P84" s="966"/>
    </row>
    <row r="85" spans="16:16">
      <c r="P85" s="966"/>
    </row>
    <row r="86" spans="16:16">
      <c r="P86" s="966"/>
    </row>
    <row r="87" spans="16:16">
      <c r="P87" s="966"/>
    </row>
    <row r="88" spans="16:16">
      <c r="P88" s="966"/>
    </row>
    <row r="89" spans="16:16">
      <c r="P89" s="966"/>
    </row>
    <row r="90" spans="16:16">
      <c r="P90" s="966"/>
    </row>
    <row r="91" spans="16:16">
      <c r="P91" s="966"/>
    </row>
    <row r="92" spans="16:16">
      <c r="P92" s="966"/>
    </row>
    <row r="93" spans="16:16">
      <c r="P93" s="966"/>
    </row>
    <row r="94" spans="16:16">
      <c r="P94" s="966"/>
    </row>
    <row r="95" spans="16:16">
      <c r="P95" s="966"/>
    </row>
    <row r="96" spans="16:16">
      <c r="P96" s="966"/>
    </row>
    <row r="97" spans="16:16">
      <c r="P97" s="966"/>
    </row>
    <row r="98" spans="16:16">
      <c r="P98" s="966"/>
    </row>
    <row r="99" spans="16:16">
      <c r="P99" s="966"/>
    </row>
    <row r="100" spans="16:16">
      <c r="P100" s="966"/>
    </row>
    <row r="101" spans="16:16">
      <c r="P101" s="966"/>
    </row>
    <row r="102" spans="16:16">
      <c r="P102" s="966"/>
    </row>
    <row r="103" spans="16:16">
      <c r="P103" s="966"/>
    </row>
    <row r="104" spans="16:16">
      <c r="P104" s="966"/>
    </row>
    <row r="105" spans="16:16">
      <c r="P105" s="966"/>
    </row>
    <row r="106" spans="16:16">
      <c r="P106" s="966"/>
    </row>
    <row r="107" spans="16:16">
      <c r="P107" s="966"/>
    </row>
    <row r="108" spans="16:16">
      <c r="P108" s="966"/>
    </row>
    <row r="109" spans="16:16">
      <c r="P109" s="966"/>
    </row>
    <row r="110" spans="16:16">
      <c r="P110" s="966"/>
    </row>
    <row r="111" spans="16:16">
      <c r="P111" s="966"/>
    </row>
    <row r="112" spans="16:16">
      <c r="P112" s="966"/>
    </row>
    <row r="113" spans="16:16">
      <c r="P113" s="966"/>
    </row>
    <row r="114" spans="16:16">
      <c r="P114" s="966"/>
    </row>
    <row r="115" spans="16:16">
      <c r="P115" s="966"/>
    </row>
    <row r="116" spans="16:16">
      <c r="P116" s="966"/>
    </row>
    <row r="117" spans="16:16">
      <c r="P117" s="966"/>
    </row>
    <row r="118" spans="16:16">
      <c r="P118" s="966"/>
    </row>
    <row r="119" spans="16:16">
      <c r="P119" s="966"/>
    </row>
    <row r="120" spans="16:16">
      <c r="P120" s="966"/>
    </row>
    <row r="121" spans="16:16">
      <c r="P121" s="966"/>
    </row>
    <row r="122" spans="16:16">
      <c r="P122" s="966"/>
    </row>
    <row r="123" spans="16:16">
      <c r="P123" s="966"/>
    </row>
    <row r="124" spans="16:16">
      <c r="P124" s="966"/>
    </row>
    <row r="125" spans="16:16">
      <c r="P125" s="966"/>
    </row>
    <row r="126" spans="16:16">
      <c r="P126" s="966"/>
    </row>
    <row r="127" spans="16:16">
      <c r="P127" s="966"/>
    </row>
    <row r="128" spans="16:16">
      <c r="P128" s="966"/>
    </row>
  </sheetData>
  <mergeCells count="5">
    <mergeCell ref="B4:Z4"/>
    <mergeCell ref="F59:F60"/>
    <mergeCell ref="G59:G60"/>
    <mergeCell ref="J59:J60"/>
    <mergeCell ref="K59:K60"/>
  </mergeCells>
  <hyperlinks>
    <hyperlink ref="A12" r:id="rId1" xr:uid="{617CB258-A365-47C7-A419-C534A38BDE5B}"/>
  </hyperlinks>
  <pageMargins left="0.70866141732283472" right="0.70866141732283472" top="0.74803149606299213" bottom="0.74803149606299213" header="0.31496062992125984" footer="0.31496062992125984"/>
  <pageSetup paperSize="9" scale="84" orientation="portrait" r:id="rId2"/>
  <headerFooter>
    <oddFooter>&amp;L&amp;8&amp;D/&amp;T/&amp;Z&amp;F/&amp;A/RL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F634-C70B-4539-A9D7-D394E789711C}">
  <sheetPr>
    <tabColor theme="2"/>
    <pageSetUpPr fitToPage="1"/>
  </sheetPr>
  <dimension ref="A4:X140"/>
  <sheetViews>
    <sheetView topLeftCell="A13" zoomScale="80" zoomScaleNormal="80" workbookViewId="0">
      <pane ySplit="3" topLeftCell="A16" activePane="bottomLeft" state="frozen"/>
      <selection activeCell="B68" sqref="B68:G87"/>
      <selection pane="bottomLeft" activeCell="L123" sqref="L123"/>
    </sheetView>
  </sheetViews>
  <sheetFormatPr defaultColWidth="8.88671875" defaultRowHeight="15" outlineLevelCol="1"/>
  <cols>
    <col min="1" max="1" width="6.77734375" style="931" bestFit="1" customWidth="1"/>
    <col min="2" max="2" width="10.6640625" style="931" customWidth="1"/>
    <col min="3" max="3" width="15.33203125" style="931" customWidth="1"/>
    <col min="4" max="4" width="11.88671875" style="931" customWidth="1" outlineLevel="1"/>
    <col min="5" max="6" width="15.33203125" style="931" customWidth="1"/>
    <col min="7" max="7" width="13.21875" style="931" customWidth="1"/>
    <col min="8" max="8" width="17" style="931" customWidth="1"/>
    <col min="9" max="9" width="13.6640625" style="931" customWidth="1" outlineLevel="1"/>
    <col min="10" max="10" width="12.33203125" style="931" customWidth="1"/>
    <col min="11" max="11" width="18" style="931" bestFit="1" customWidth="1"/>
    <col min="12" max="12" width="15.33203125" style="931" customWidth="1"/>
    <col min="13" max="13" width="9.44140625" style="931" customWidth="1"/>
    <col min="14" max="14" width="12.77734375" style="931" customWidth="1"/>
    <col min="15" max="15" width="12.44140625" style="931" customWidth="1"/>
    <col min="16" max="16" width="9.88671875" style="931" bestFit="1" customWidth="1"/>
    <col min="17" max="17" width="9" style="931" bestFit="1" customWidth="1"/>
    <col min="18" max="18" width="8.21875" style="931" bestFit="1" customWidth="1"/>
    <col min="19" max="20" width="9" style="931" bestFit="1" customWidth="1"/>
    <col min="21" max="21" width="7.44140625" style="931" bestFit="1" customWidth="1"/>
    <col min="22" max="23" width="8.21875" style="931" bestFit="1" customWidth="1"/>
    <col min="24" max="16384" width="8.88671875" style="931"/>
  </cols>
  <sheetData>
    <row r="4" spans="1:21" ht="15" customHeight="1" thickBot="1">
      <c r="A4" s="930"/>
      <c r="B4" s="1137" t="s">
        <v>72</v>
      </c>
      <c r="C4" s="1138"/>
      <c r="D4" s="1138"/>
      <c r="E4" s="1138"/>
      <c r="F4" s="1138"/>
      <c r="G4" s="1138"/>
      <c r="H4" s="1138"/>
      <c r="I4" s="1138"/>
      <c r="J4" s="1138"/>
      <c r="K4" s="1138"/>
      <c r="L4" s="1138"/>
      <c r="M4" s="1138"/>
      <c r="N4" s="1138"/>
      <c r="O4" s="1138"/>
      <c r="P4" s="1138"/>
      <c r="Q4" s="1138"/>
      <c r="R4" s="1138"/>
      <c r="S4" s="1138"/>
      <c r="T4" s="1138"/>
      <c r="U4" s="1138"/>
    </row>
    <row r="5" spans="1:21" ht="15" customHeight="1" thickBot="1">
      <c r="A5" s="930"/>
      <c r="B5" s="932" t="s">
        <v>109</v>
      </c>
      <c r="C5" s="933"/>
      <c r="D5" s="933"/>
      <c r="E5" s="932" t="s">
        <v>94</v>
      </c>
      <c r="F5" s="932"/>
      <c r="G5" s="932" t="s">
        <v>95</v>
      </c>
      <c r="H5" s="933"/>
      <c r="I5" s="932" t="s">
        <v>96</v>
      </c>
      <c r="J5" s="933"/>
      <c r="K5" s="932" t="s">
        <v>97</v>
      </c>
      <c r="L5" s="933"/>
      <c r="M5" s="933"/>
      <c r="N5" s="934"/>
      <c r="O5" s="934"/>
      <c r="P5" s="932" t="s">
        <v>99</v>
      </c>
      <c r="Q5" s="933"/>
      <c r="R5" s="932" t="s">
        <v>100</v>
      </c>
      <c r="S5" s="933"/>
      <c r="T5" s="932" t="s">
        <v>107</v>
      </c>
      <c r="U5" s="934"/>
    </row>
    <row r="6" spans="1:21" ht="16.5" thickBot="1">
      <c r="A6" s="935"/>
      <c r="B6" s="936" t="s">
        <v>619</v>
      </c>
      <c r="C6" s="936" t="s">
        <v>602</v>
      </c>
      <c r="D6" s="936" t="s">
        <v>602</v>
      </c>
      <c r="E6" s="936" t="s">
        <v>619</v>
      </c>
      <c r="F6" s="936"/>
      <c r="G6" s="936" t="s">
        <v>619</v>
      </c>
      <c r="H6" s="936" t="s">
        <v>602</v>
      </c>
      <c r="I6" s="936" t="s">
        <v>619</v>
      </c>
      <c r="J6" s="936" t="s">
        <v>602</v>
      </c>
      <c r="K6" s="936" t="s">
        <v>619</v>
      </c>
      <c r="L6" s="936" t="s">
        <v>602</v>
      </c>
      <c r="M6" s="936" t="s">
        <v>602</v>
      </c>
      <c r="N6" s="936"/>
      <c r="O6" s="936"/>
      <c r="P6" s="936" t="s">
        <v>619</v>
      </c>
      <c r="Q6" s="936" t="s">
        <v>602</v>
      </c>
      <c r="R6" s="936" t="s">
        <v>619</v>
      </c>
      <c r="S6" s="936" t="s">
        <v>602</v>
      </c>
      <c r="T6" s="936" t="s">
        <v>619</v>
      </c>
      <c r="U6" s="932" t="s">
        <v>602</v>
      </c>
    </row>
    <row r="7" spans="1:21" ht="15.75" thickBot="1">
      <c r="A7" s="937">
        <v>2019</v>
      </c>
      <c r="B7" s="938"/>
      <c r="C7" s="938"/>
      <c r="D7" s="938"/>
      <c r="E7" s="938"/>
      <c r="F7" s="938"/>
      <c r="G7" s="938"/>
      <c r="H7" s="938"/>
      <c r="I7" s="938"/>
      <c r="J7" s="938"/>
      <c r="K7" s="938"/>
      <c r="L7" s="938"/>
      <c r="M7" s="938"/>
      <c r="N7" s="938"/>
      <c r="O7" s="938"/>
      <c r="P7" s="938"/>
      <c r="Q7" s="938"/>
      <c r="R7" s="938"/>
      <c r="S7" s="938"/>
      <c r="T7" s="938"/>
      <c r="U7" s="939"/>
    </row>
    <row r="8" spans="1:21" ht="81.75" thickBot="1">
      <c r="A8" s="937" t="s">
        <v>620</v>
      </c>
      <c r="B8" s="940">
        <v>6626142</v>
      </c>
      <c r="C8" s="940">
        <v>4336</v>
      </c>
      <c r="D8" s="941">
        <v>41</v>
      </c>
      <c r="E8" s="940">
        <v>537363</v>
      </c>
      <c r="F8" s="940"/>
      <c r="G8" s="940">
        <v>968669</v>
      </c>
      <c r="H8" s="941">
        <v>687</v>
      </c>
      <c r="I8" s="940">
        <v>151425</v>
      </c>
      <c r="J8" s="941">
        <v>81</v>
      </c>
      <c r="K8" s="940">
        <v>321812</v>
      </c>
      <c r="L8" s="941">
        <v>121</v>
      </c>
      <c r="M8" s="941">
        <v>413</v>
      </c>
      <c r="N8" s="941"/>
      <c r="O8" s="941"/>
      <c r="P8" s="940">
        <v>563703</v>
      </c>
      <c r="Q8" s="941">
        <v>701</v>
      </c>
      <c r="R8" s="940">
        <v>23492</v>
      </c>
      <c r="S8" s="941">
        <v>280</v>
      </c>
      <c r="T8" s="940">
        <v>199847</v>
      </c>
      <c r="U8" s="942">
        <v>71</v>
      </c>
    </row>
    <row r="9" spans="1:21" ht="36.75" thickBot="1">
      <c r="A9" s="937" t="s">
        <v>621</v>
      </c>
      <c r="B9" s="940">
        <v>5455777</v>
      </c>
      <c r="C9" s="940">
        <v>9316</v>
      </c>
      <c r="D9" s="941">
        <v>130</v>
      </c>
      <c r="E9" s="940">
        <v>195502</v>
      </c>
      <c r="F9" s="940"/>
      <c r="G9" s="940">
        <v>470919</v>
      </c>
      <c r="H9" s="941">
        <v>865</v>
      </c>
      <c r="I9" s="940">
        <v>88257</v>
      </c>
      <c r="J9" s="941">
        <v>152</v>
      </c>
      <c r="K9" s="940">
        <v>80184</v>
      </c>
      <c r="L9" s="941">
        <v>152</v>
      </c>
      <c r="M9" s="941">
        <v>503</v>
      </c>
      <c r="N9" s="941"/>
      <c r="O9" s="941"/>
      <c r="P9" s="940">
        <v>819107</v>
      </c>
      <c r="Q9" s="940">
        <v>1475</v>
      </c>
      <c r="R9" s="940">
        <v>54860</v>
      </c>
      <c r="S9" s="941">
        <v>353</v>
      </c>
      <c r="T9" s="940">
        <v>88893</v>
      </c>
      <c r="U9" s="942">
        <v>150</v>
      </c>
    </row>
    <row r="12" spans="1:21">
      <c r="A12" s="808" t="s">
        <v>622</v>
      </c>
    </row>
    <row r="13" spans="1:21" ht="15.75" thickBot="1"/>
    <row r="14" spans="1:21" s="943" customFormat="1" ht="24" thickBot="1">
      <c r="K14" s="944" t="s">
        <v>623</v>
      </c>
    </row>
    <row r="15" spans="1:21" ht="24" thickTop="1" thickBot="1">
      <c r="A15" s="945" t="s">
        <v>624</v>
      </c>
      <c r="B15" s="946"/>
      <c r="C15" s="947"/>
      <c r="D15" s="948"/>
      <c r="E15" s="949"/>
      <c r="K15" s="949" t="s">
        <v>625</v>
      </c>
      <c r="N15" s="950" t="s">
        <v>626</v>
      </c>
      <c r="O15" s="951">
        <v>1000000</v>
      </c>
    </row>
    <row r="16" spans="1:21" ht="61.5" thickTop="1" thickBot="1">
      <c r="A16" s="930"/>
      <c r="B16" s="935"/>
      <c r="C16" s="952" t="s">
        <v>627</v>
      </c>
      <c r="D16" s="953" t="s">
        <v>151</v>
      </c>
      <c r="E16" s="954" t="s">
        <v>156</v>
      </c>
      <c r="F16" s="954" t="s">
        <v>628</v>
      </c>
      <c r="G16" s="955" t="s">
        <v>156</v>
      </c>
      <c r="H16" s="956" t="s">
        <v>629</v>
      </c>
      <c r="I16" s="957"/>
      <c r="K16" s="958" t="s">
        <v>620</v>
      </c>
      <c r="L16" s="959" t="s">
        <v>151</v>
      </c>
      <c r="M16" s="955" t="s">
        <v>156</v>
      </c>
      <c r="N16" s="959" t="s">
        <v>153</v>
      </c>
      <c r="O16" s="955" t="s">
        <v>630</v>
      </c>
    </row>
    <row r="17" spans="1:15" ht="15.75" customHeight="1" thickTop="1" thickBot="1">
      <c r="A17" s="932" t="s">
        <v>109</v>
      </c>
      <c r="B17" s="936" t="s">
        <v>619</v>
      </c>
      <c r="C17" s="960">
        <v>8786867</v>
      </c>
      <c r="D17" s="961">
        <v>17.489999999999998</v>
      </c>
      <c r="E17" s="962">
        <f>SUM(E19:E49)</f>
        <v>1597498.1725000001</v>
      </c>
      <c r="F17" s="963">
        <v>0.7</v>
      </c>
      <c r="G17" s="964">
        <f>SUM(G19:G50)</f>
        <v>1118248.7207499999</v>
      </c>
      <c r="H17" s="965">
        <f>ROUND(G17-O17,2)</f>
        <v>118248.72</v>
      </c>
      <c r="I17" s="966"/>
      <c r="J17" s="932" t="s">
        <v>109</v>
      </c>
      <c r="K17" s="967">
        <v>6632481</v>
      </c>
      <c r="L17" s="968">
        <v>17.489999999999998</v>
      </c>
      <c r="M17" s="969">
        <f>SUM(M18:M50)</f>
        <v>1206822.7217724931</v>
      </c>
      <c r="N17" s="970">
        <f>SUM(N18:N50)</f>
        <v>1</v>
      </c>
      <c r="O17" s="971">
        <f>SUM(O18:O50)</f>
        <v>1000000</v>
      </c>
    </row>
    <row r="18" spans="1:15" ht="15.75" customHeight="1" thickBot="1">
      <c r="A18" s="933"/>
      <c r="B18" s="936" t="s">
        <v>602</v>
      </c>
      <c r="C18" s="972"/>
      <c r="D18" s="973"/>
      <c r="E18" s="974"/>
      <c r="F18" s="975"/>
      <c r="G18" s="976"/>
      <c r="H18" s="965"/>
      <c r="J18" s="934"/>
      <c r="K18" s="969"/>
      <c r="L18" s="977"/>
      <c r="M18" s="978"/>
      <c r="N18" s="978"/>
      <c r="O18" s="978"/>
    </row>
    <row r="19" spans="1:15" ht="15.75" customHeight="1" thickBot="1">
      <c r="A19" s="932" t="s">
        <v>93</v>
      </c>
      <c r="B19" s="936" t="s">
        <v>619</v>
      </c>
      <c r="C19" s="972">
        <v>104606</v>
      </c>
      <c r="D19" s="973">
        <v>17.75</v>
      </c>
      <c r="E19" s="974">
        <f>C19*D19/100</f>
        <v>18567.564999999999</v>
      </c>
      <c r="F19" s="975">
        <v>0.7</v>
      </c>
      <c r="G19" s="964">
        <f>E19*F19</f>
        <v>12997.295499999998</v>
      </c>
      <c r="H19" s="965">
        <f t="shared" ref="H19:H49" si="0">ROUND(G19-O19,2)</f>
        <v>1602.39</v>
      </c>
      <c r="I19" s="966"/>
      <c r="J19" s="932" t="s">
        <v>93</v>
      </c>
      <c r="K19" s="967">
        <v>77474</v>
      </c>
      <c r="L19" s="977">
        <v>17.75</v>
      </c>
      <c r="M19" s="969">
        <f>K19*L19/100</f>
        <v>13751.635</v>
      </c>
      <c r="N19" s="978">
        <f>M19/$M$17</f>
        <v>1.1394908922333351E-2</v>
      </c>
      <c r="O19" s="979">
        <f>N19*$O$15</f>
        <v>11394.90892233335</v>
      </c>
    </row>
    <row r="20" spans="1:15" ht="15.75" customHeight="1" thickBot="1">
      <c r="A20" s="933"/>
      <c r="B20" s="936" t="s">
        <v>602</v>
      </c>
      <c r="C20" s="980"/>
      <c r="D20" s="973"/>
      <c r="E20" s="974"/>
      <c r="F20" s="975"/>
      <c r="G20" s="964"/>
      <c r="H20" s="965"/>
      <c r="J20" s="934"/>
      <c r="K20" s="969"/>
      <c r="L20" s="977"/>
      <c r="M20" s="969"/>
      <c r="N20" s="978"/>
      <c r="O20" s="979"/>
    </row>
    <row r="21" spans="1:15" ht="15.75" customHeight="1" thickBot="1">
      <c r="A21" s="932" t="s">
        <v>94</v>
      </c>
      <c r="B21" s="936" t="s">
        <v>619</v>
      </c>
      <c r="C21" s="972">
        <v>610428</v>
      </c>
      <c r="D21" s="973">
        <v>18.5</v>
      </c>
      <c r="E21" s="974">
        <f t="shared" ref="E21:E49" si="1">C21*D21/100</f>
        <v>112929.18</v>
      </c>
      <c r="F21" s="975">
        <v>0.7</v>
      </c>
      <c r="G21" s="964">
        <f>E21*F21</f>
        <v>79050.425999999992</v>
      </c>
      <c r="H21" s="965">
        <f t="shared" si="0"/>
        <v>2729.09</v>
      </c>
      <c r="I21" s="966"/>
      <c r="J21" s="932" t="s">
        <v>94</v>
      </c>
      <c r="K21" s="967">
        <v>497872</v>
      </c>
      <c r="L21" s="977">
        <v>18.5</v>
      </c>
      <c r="M21" s="969">
        <f t="shared" ref="M21:M49" si="2">K21*L21/100</f>
        <v>92106.32</v>
      </c>
      <c r="N21" s="978">
        <f>M21/$M$17</f>
        <v>7.6321333977471831E-2</v>
      </c>
      <c r="O21" s="979">
        <f>N21*$O$15</f>
        <v>76321.333977471833</v>
      </c>
    </row>
    <row r="22" spans="1:15" ht="15.75" customHeight="1" thickBot="1">
      <c r="A22" s="933"/>
      <c r="B22" s="936" t="s">
        <v>602</v>
      </c>
      <c r="C22" s="980"/>
      <c r="D22" s="973"/>
      <c r="E22" s="974"/>
      <c r="F22" s="975"/>
      <c r="G22" s="964"/>
      <c r="H22" s="965"/>
      <c r="I22" s="981"/>
      <c r="J22" s="934"/>
      <c r="K22" s="969"/>
      <c r="L22" s="977"/>
      <c r="M22" s="969"/>
      <c r="N22" s="978"/>
      <c r="O22" s="979"/>
    </row>
    <row r="23" spans="1:15" ht="15.75" customHeight="1" thickBot="1">
      <c r="A23" s="932" t="s">
        <v>95</v>
      </c>
      <c r="B23" s="936" t="s">
        <v>619</v>
      </c>
      <c r="C23" s="972">
        <v>1239265</v>
      </c>
      <c r="D23" s="973">
        <v>19.5</v>
      </c>
      <c r="E23" s="974">
        <f t="shared" si="1"/>
        <v>241656.67499999999</v>
      </c>
      <c r="F23" s="975">
        <v>0.7</v>
      </c>
      <c r="G23" s="964">
        <f>E23*F23</f>
        <v>169159.67249999999</v>
      </c>
      <c r="H23" s="965">
        <f t="shared" si="0"/>
        <v>15333.29</v>
      </c>
      <c r="I23" s="982"/>
      <c r="J23" s="932" t="s">
        <v>95</v>
      </c>
      <c r="K23" s="967">
        <v>952006</v>
      </c>
      <c r="L23" s="977">
        <v>19.5</v>
      </c>
      <c r="M23" s="969">
        <f t="shared" si="2"/>
        <v>185641.17</v>
      </c>
      <c r="N23" s="978">
        <f>M23/$M$17</f>
        <v>0.15382637950944761</v>
      </c>
      <c r="O23" s="979">
        <f>N23*$O$15</f>
        <v>153826.37950944761</v>
      </c>
    </row>
    <row r="24" spans="1:15" ht="15.75" customHeight="1" thickBot="1">
      <c r="A24" s="933"/>
      <c r="B24" s="936" t="s">
        <v>602</v>
      </c>
      <c r="C24" s="980"/>
      <c r="D24" s="973"/>
      <c r="E24" s="974"/>
      <c r="F24" s="975"/>
      <c r="G24" s="964"/>
      <c r="H24" s="965"/>
      <c r="J24" s="934"/>
      <c r="K24" s="969"/>
      <c r="L24" s="977"/>
      <c r="M24" s="969"/>
      <c r="N24" s="978"/>
      <c r="O24" s="979"/>
    </row>
    <row r="25" spans="1:15" ht="15.75" customHeight="1" thickBot="1">
      <c r="A25" s="932" t="s">
        <v>96</v>
      </c>
      <c r="B25" s="936" t="s">
        <v>619</v>
      </c>
      <c r="C25" s="972">
        <v>175064</v>
      </c>
      <c r="D25" s="973">
        <v>17.5</v>
      </c>
      <c r="E25" s="974">
        <f t="shared" si="1"/>
        <v>30636.2</v>
      </c>
      <c r="F25" s="975">
        <v>0.7</v>
      </c>
      <c r="G25" s="964">
        <f>E25*F25</f>
        <v>21445.34</v>
      </c>
      <c r="H25" s="965">
        <f t="shared" si="0"/>
        <v>954.43</v>
      </c>
      <c r="I25" s="966"/>
      <c r="J25" s="932" t="s">
        <v>96</v>
      </c>
      <c r="K25" s="967">
        <v>141308</v>
      </c>
      <c r="L25" s="977">
        <v>17.5</v>
      </c>
      <c r="M25" s="969">
        <f t="shared" si="2"/>
        <v>24728.9</v>
      </c>
      <c r="N25" s="978">
        <f>M25/$M$17</f>
        <v>2.049091349861229E-2</v>
      </c>
      <c r="O25" s="979">
        <f>N25*$O$15</f>
        <v>20490.913498612288</v>
      </c>
    </row>
    <row r="26" spans="1:15" ht="15.75" customHeight="1" thickBot="1">
      <c r="A26" s="933"/>
      <c r="B26" s="936" t="s">
        <v>602</v>
      </c>
      <c r="C26" s="980"/>
      <c r="D26" s="973"/>
      <c r="E26" s="974"/>
      <c r="F26" s="975"/>
      <c r="G26" s="964"/>
      <c r="H26" s="965"/>
      <c r="J26" s="934"/>
      <c r="K26" s="969"/>
      <c r="L26" s="977"/>
      <c r="M26" s="969"/>
      <c r="N26" s="978"/>
      <c r="O26" s="979"/>
    </row>
    <row r="27" spans="1:15" ht="15.75" customHeight="1" thickBot="1">
      <c r="A27" s="932" t="s">
        <v>97</v>
      </c>
      <c r="B27" s="936" t="s">
        <v>619</v>
      </c>
      <c r="C27" s="972">
        <v>404256</v>
      </c>
      <c r="D27" s="973">
        <v>18.5</v>
      </c>
      <c r="E27" s="974">
        <f t="shared" si="1"/>
        <v>74787.360000000001</v>
      </c>
      <c r="F27" s="975">
        <v>0.7</v>
      </c>
      <c r="G27" s="964">
        <f>E27*F27</f>
        <v>52351.151999999995</v>
      </c>
      <c r="H27" s="965">
        <f t="shared" si="0"/>
        <v>2911.34</v>
      </c>
      <c r="I27" s="966"/>
      <c r="J27" s="932" t="s">
        <v>97</v>
      </c>
      <c r="K27" s="967">
        <v>322514</v>
      </c>
      <c r="L27" s="977">
        <v>18.5</v>
      </c>
      <c r="M27" s="969">
        <f t="shared" si="2"/>
        <v>59665.09</v>
      </c>
      <c r="N27" s="978">
        <f>M27/$M$17</f>
        <v>4.9439813258046937E-2</v>
      </c>
      <c r="O27" s="979">
        <f>N27*$O$15</f>
        <v>49439.813258046939</v>
      </c>
    </row>
    <row r="28" spans="1:15" ht="15.75" customHeight="1" thickBot="1">
      <c r="A28" s="933"/>
      <c r="B28" s="936" t="s">
        <v>602</v>
      </c>
      <c r="C28" s="980"/>
      <c r="D28" s="973"/>
      <c r="E28" s="974"/>
      <c r="F28" s="975"/>
      <c r="G28" s="964"/>
      <c r="H28" s="965"/>
      <c r="J28" s="934"/>
      <c r="K28" s="969"/>
      <c r="L28" s="977"/>
      <c r="M28" s="969"/>
      <c r="N28" s="978"/>
      <c r="O28" s="979"/>
    </row>
    <row r="29" spans="1:15" ht="15.75" customHeight="1" thickBot="1">
      <c r="A29" s="932" t="s">
        <v>98</v>
      </c>
      <c r="B29" s="936" t="s">
        <v>619</v>
      </c>
      <c r="C29" s="972">
        <v>1047526</v>
      </c>
      <c r="D29" s="973">
        <v>18</v>
      </c>
      <c r="E29" s="974">
        <f t="shared" si="1"/>
        <v>188554.68</v>
      </c>
      <c r="F29" s="975">
        <v>0.7</v>
      </c>
      <c r="G29" s="964">
        <f>E29*F29</f>
        <v>131988.27599999998</v>
      </c>
      <c r="H29" s="965">
        <f t="shared" si="0"/>
        <v>29011.21</v>
      </c>
      <c r="I29" s="966"/>
      <c r="J29" s="932" t="s">
        <v>98</v>
      </c>
      <c r="K29" s="967">
        <v>690417</v>
      </c>
      <c r="L29" s="977">
        <v>18</v>
      </c>
      <c r="M29" s="969">
        <f t="shared" si="2"/>
        <v>124275.06</v>
      </c>
      <c r="N29" s="978">
        <f>M29/$M$17</f>
        <v>0.10297706345590997</v>
      </c>
      <c r="O29" s="979">
        <f>N29*$O$15</f>
        <v>102977.06345590997</v>
      </c>
    </row>
    <row r="30" spans="1:15" ht="15.75" customHeight="1" thickBot="1">
      <c r="A30" s="933"/>
      <c r="B30" s="936" t="s">
        <v>602</v>
      </c>
      <c r="C30" s="983"/>
      <c r="D30" s="973"/>
      <c r="E30" s="974"/>
      <c r="F30" s="975"/>
      <c r="G30" s="964"/>
      <c r="H30" s="965"/>
      <c r="J30" s="934"/>
      <c r="K30" s="969"/>
      <c r="L30" s="977"/>
      <c r="M30" s="969"/>
      <c r="N30" s="978"/>
      <c r="O30" s="979"/>
    </row>
    <row r="31" spans="1:15" ht="15.75" customHeight="1" thickBot="1">
      <c r="A31" s="932" t="s">
        <v>99</v>
      </c>
      <c r="B31" s="936" t="s">
        <v>619</v>
      </c>
      <c r="C31" s="984">
        <v>846429</v>
      </c>
      <c r="D31" s="973">
        <v>16.5</v>
      </c>
      <c r="E31" s="974">
        <f t="shared" si="1"/>
        <v>139660.785</v>
      </c>
      <c r="F31" s="975">
        <v>0.7</v>
      </c>
      <c r="G31" s="964">
        <f>E31*F31</f>
        <v>97762.549499999994</v>
      </c>
      <c r="H31" s="965">
        <f t="shared" si="0"/>
        <v>13497.78</v>
      </c>
      <c r="I31" s="966"/>
      <c r="J31" s="932" t="s">
        <v>99</v>
      </c>
      <c r="K31" s="967">
        <v>616319</v>
      </c>
      <c r="L31" s="977">
        <v>16.5</v>
      </c>
      <c r="M31" s="969">
        <f t="shared" si="2"/>
        <v>101692.63499999999</v>
      </c>
      <c r="N31" s="978">
        <f>M31/$M$17</f>
        <v>8.4264766618448547E-2</v>
      </c>
      <c r="O31" s="979">
        <f>N31*$O$15</f>
        <v>84264.766618448542</v>
      </c>
    </row>
    <row r="32" spans="1:15" ht="15.75" customHeight="1" thickBot="1">
      <c r="A32" s="933"/>
      <c r="B32" s="936" t="s">
        <v>602</v>
      </c>
      <c r="C32" s="983"/>
      <c r="D32" s="973"/>
      <c r="E32" s="974"/>
      <c r="F32" s="975"/>
      <c r="G32" s="964"/>
      <c r="H32" s="965"/>
      <c r="J32" s="934"/>
      <c r="K32" s="969"/>
      <c r="L32" s="977"/>
      <c r="M32" s="969"/>
      <c r="N32" s="978"/>
      <c r="O32" s="979"/>
    </row>
    <row r="33" spans="1:19" ht="15.75" customHeight="1" thickBot="1">
      <c r="A33" s="932" t="s">
        <v>100</v>
      </c>
      <c r="B33" s="936" t="s">
        <v>619</v>
      </c>
      <c r="C33" s="984">
        <v>23407</v>
      </c>
      <c r="D33" s="973">
        <v>18.5</v>
      </c>
      <c r="E33" s="974">
        <f t="shared" si="1"/>
        <v>4330.2950000000001</v>
      </c>
      <c r="F33" s="975">
        <v>0.7</v>
      </c>
      <c r="G33" s="964">
        <f>E33*F33</f>
        <v>3031.2064999999998</v>
      </c>
      <c r="H33" s="965">
        <f t="shared" si="0"/>
        <v>1170.6600000000001</v>
      </c>
      <c r="I33" s="985"/>
      <c r="J33" s="932" t="s">
        <v>100</v>
      </c>
      <c r="K33" s="967">
        <v>12137</v>
      </c>
      <c r="L33" s="977">
        <v>18.5</v>
      </c>
      <c r="M33" s="969">
        <f t="shared" si="2"/>
        <v>2245.3449999999998</v>
      </c>
      <c r="N33" s="978">
        <f>M33/$M$17</f>
        <v>1.8605425299767317E-3</v>
      </c>
      <c r="O33" s="979">
        <f>N33*$O$15</f>
        <v>1860.5425299767317</v>
      </c>
    </row>
    <row r="34" spans="1:19" ht="15.75" customHeight="1" thickBot="1">
      <c r="A34" s="933"/>
      <c r="B34" s="936" t="s">
        <v>602</v>
      </c>
      <c r="C34" s="983"/>
      <c r="D34" s="973"/>
      <c r="E34" s="974"/>
      <c r="F34" s="975"/>
      <c r="G34" s="964"/>
      <c r="H34" s="965"/>
      <c r="J34" s="934"/>
      <c r="K34" s="969"/>
      <c r="L34" s="977"/>
      <c r="M34" s="969"/>
      <c r="N34" s="978"/>
      <c r="O34" s="979"/>
    </row>
    <row r="35" spans="1:19" ht="15.75" customHeight="1" thickBot="1">
      <c r="A35" s="932" t="s">
        <v>101</v>
      </c>
      <c r="B35" s="936" t="s">
        <v>619</v>
      </c>
      <c r="C35" s="984">
        <v>16088</v>
      </c>
      <c r="D35" s="973">
        <v>19.75</v>
      </c>
      <c r="E35" s="974">
        <f t="shared" si="1"/>
        <v>3177.38</v>
      </c>
      <c r="F35" s="975">
        <v>0.7</v>
      </c>
      <c r="G35" s="964">
        <f>E35*F35</f>
        <v>2224.1659999999997</v>
      </c>
      <c r="H35" s="965">
        <f t="shared" si="0"/>
        <v>1170.4100000000001</v>
      </c>
      <c r="I35" s="966"/>
      <c r="J35" s="932" t="s">
        <v>101</v>
      </c>
      <c r="K35" s="986">
        <f>Q57*$O$55</f>
        <v>6438.9584281777879</v>
      </c>
      <c r="L35" s="977">
        <v>19.75</v>
      </c>
      <c r="M35" s="969">
        <f t="shared" si="2"/>
        <v>1271.6942895651132</v>
      </c>
      <c r="N35" s="978">
        <f>M35/$M$17</f>
        <v>1.0537540159148988E-3</v>
      </c>
      <c r="O35" s="979">
        <f>N35*$O$15</f>
        <v>1053.7540159148989</v>
      </c>
    </row>
    <row r="36" spans="1:19" ht="15.75" customHeight="1" thickBot="1">
      <c r="A36" s="933"/>
      <c r="B36" s="936" t="s">
        <v>602</v>
      </c>
      <c r="C36" s="983"/>
      <c r="D36" s="973"/>
      <c r="E36" s="974"/>
      <c r="F36" s="975"/>
      <c r="G36" s="964"/>
      <c r="H36" s="965"/>
      <c r="J36" s="934"/>
      <c r="K36" s="969"/>
      <c r="L36" s="977"/>
      <c r="M36" s="969"/>
      <c r="N36" s="978"/>
      <c r="O36" s="979"/>
    </row>
    <row r="37" spans="1:19" ht="15.75" customHeight="1" thickBot="1">
      <c r="A37" s="932" t="s">
        <v>102</v>
      </c>
      <c r="B37" s="936" t="s">
        <v>619</v>
      </c>
      <c r="C37" s="984">
        <v>1010739</v>
      </c>
      <c r="D37" s="973">
        <v>17.5</v>
      </c>
      <c r="E37" s="974">
        <f t="shared" si="1"/>
        <v>176879.32500000001</v>
      </c>
      <c r="F37" s="975">
        <v>0.7</v>
      </c>
      <c r="G37" s="964">
        <f>E37*F37</f>
        <v>123815.5275</v>
      </c>
      <c r="H37" s="965">
        <f t="shared" si="0"/>
        <v>13090.52</v>
      </c>
      <c r="I37" s="966"/>
      <c r="J37" s="932" t="s">
        <v>102</v>
      </c>
      <c r="K37" s="967">
        <v>763574</v>
      </c>
      <c r="L37" s="977">
        <v>17.5</v>
      </c>
      <c r="M37" s="969">
        <f t="shared" si="2"/>
        <v>133625.45000000001</v>
      </c>
      <c r="N37" s="978">
        <f>M37/$M$17</f>
        <v>0.11072500342365174</v>
      </c>
      <c r="O37" s="979">
        <f>N37*$O$15</f>
        <v>110725.00342365174</v>
      </c>
    </row>
    <row r="38" spans="1:19" ht="15.75" customHeight="1" thickBot="1">
      <c r="A38" s="933"/>
      <c r="B38" s="936" t="s">
        <v>602</v>
      </c>
      <c r="C38" s="983"/>
      <c r="D38" s="973"/>
      <c r="E38" s="974"/>
      <c r="F38" s="975"/>
      <c r="G38" s="964"/>
      <c r="H38" s="965"/>
      <c r="J38" s="934"/>
      <c r="K38" s="969"/>
      <c r="L38" s="977"/>
      <c r="M38" s="969"/>
      <c r="N38" s="978"/>
      <c r="O38" s="979"/>
    </row>
    <row r="39" spans="1:19" ht="15.75" customHeight="1" thickBot="1">
      <c r="A39" s="932" t="s">
        <v>103</v>
      </c>
      <c r="B39" s="936" t="s">
        <v>619</v>
      </c>
      <c r="C39" s="984">
        <v>273609</v>
      </c>
      <c r="D39" s="973">
        <v>19.5</v>
      </c>
      <c r="E39" s="974">
        <f t="shared" si="1"/>
        <v>53353.754999999997</v>
      </c>
      <c r="F39" s="975">
        <v>0.7</v>
      </c>
      <c r="G39" s="964">
        <f>E39*F39</f>
        <v>37347.628499999999</v>
      </c>
      <c r="H39" s="965">
        <f t="shared" si="0"/>
        <v>944.65</v>
      </c>
      <c r="I39" s="966"/>
      <c r="J39" s="932" t="s">
        <v>103</v>
      </c>
      <c r="K39" s="967">
        <v>225292</v>
      </c>
      <c r="L39" s="977">
        <v>19.5</v>
      </c>
      <c r="M39" s="969">
        <f t="shared" si="2"/>
        <v>43931.94</v>
      </c>
      <c r="N39" s="978">
        <f>M39/$M$17</f>
        <v>3.6402977179180035E-2</v>
      </c>
      <c r="O39" s="979">
        <f>N39*$O$15</f>
        <v>36402.977179180038</v>
      </c>
    </row>
    <row r="40" spans="1:19" ht="15.75" customHeight="1" thickBot="1">
      <c r="A40" s="933"/>
      <c r="B40" s="936" t="s">
        <v>602</v>
      </c>
      <c r="C40" s="983"/>
      <c r="D40" s="973"/>
      <c r="E40" s="974"/>
      <c r="F40" s="975"/>
      <c r="G40" s="964"/>
      <c r="H40" s="965"/>
      <c r="J40" s="934"/>
      <c r="K40" s="969"/>
      <c r="L40" s="977"/>
      <c r="M40" s="969"/>
      <c r="N40" s="978"/>
      <c r="O40" s="979"/>
    </row>
    <row r="41" spans="1:19" ht="15.75" customHeight="1" thickBot="1">
      <c r="A41" s="932" t="s">
        <v>108</v>
      </c>
      <c r="B41" s="936" t="s">
        <v>619</v>
      </c>
      <c r="C41" s="984">
        <v>942907</v>
      </c>
      <c r="D41" s="973">
        <v>17</v>
      </c>
      <c r="E41" s="974">
        <f t="shared" si="1"/>
        <v>160294.19</v>
      </c>
      <c r="F41" s="975">
        <v>0.7</v>
      </c>
      <c r="G41" s="964">
        <f>E41*F41</f>
        <v>112205.93299999999</v>
      </c>
      <c r="H41" s="965">
        <f t="shared" si="0"/>
        <v>8704.11</v>
      </c>
      <c r="I41" s="966"/>
      <c r="J41" s="932" t="s">
        <v>108</v>
      </c>
      <c r="K41" s="967">
        <v>734755</v>
      </c>
      <c r="L41" s="977">
        <v>17</v>
      </c>
      <c r="M41" s="969">
        <f t="shared" si="2"/>
        <v>124908.35</v>
      </c>
      <c r="N41" s="978">
        <f>M41/$M$17</f>
        <v>0.10350182155714117</v>
      </c>
      <c r="O41" s="979">
        <f>N41*$O$15</f>
        <v>103501.82155714117</v>
      </c>
      <c r="S41" s="987"/>
    </row>
    <row r="42" spans="1:19" ht="15.75" customHeight="1" thickBot="1">
      <c r="A42" s="933"/>
      <c r="B42" s="936" t="s">
        <v>602</v>
      </c>
      <c r="C42" s="983"/>
      <c r="D42" s="973"/>
      <c r="E42" s="974"/>
      <c r="F42" s="975"/>
      <c r="G42" s="964"/>
      <c r="H42" s="965"/>
      <c r="J42" s="934"/>
      <c r="K42" s="969"/>
      <c r="L42" s="977"/>
      <c r="M42" s="969"/>
      <c r="N42" s="978"/>
      <c r="O42" s="979"/>
    </row>
    <row r="43" spans="1:19" ht="15.75" customHeight="1" thickBot="1">
      <c r="A43" s="932" t="s">
        <v>104</v>
      </c>
      <c r="B43" s="936" t="s">
        <v>619</v>
      </c>
      <c r="C43" s="984">
        <v>1078027</v>
      </c>
      <c r="D43" s="973">
        <v>18.25</v>
      </c>
      <c r="E43" s="974">
        <f t="shared" si="1"/>
        <v>196739.92749999999</v>
      </c>
      <c r="F43" s="975">
        <v>0.7</v>
      </c>
      <c r="G43" s="964">
        <f>E43*F43</f>
        <v>137717.94924999998</v>
      </c>
      <c r="H43" s="965">
        <f t="shared" si="0"/>
        <v>13943.9</v>
      </c>
      <c r="I43" s="966"/>
      <c r="J43" s="932" t="s">
        <v>104</v>
      </c>
      <c r="K43" s="967">
        <v>818484</v>
      </c>
      <c r="L43" s="977">
        <v>18.25</v>
      </c>
      <c r="M43" s="969">
        <f t="shared" si="2"/>
        <v>149373.32999999999</v>
      </c>
      <c r="N43" s="978">
        <f>M43/$M$17</f>
        <v>0.12377404510631963</v>
      </c>
      <c r="O43" s="979">
        <f>N43*$O$15</f>
        <v>123774.04510631964</v>
      </c>
    </row>
    <row r="44" spans="1:19" ht="15.75" customHeight="1" thickBot="1">
      <c r="A44" s="933"/>
      <c r="B44" s="936" t="s">
        <v>602</v>
      </c>
      <c r="C44" s="983"/>
      <c r="D44" s="973"/>
      <c r="E44" s="974"/>
      <c r="F44" s="975"/>
      <c r="G44" s="964"/>
      <c r="H44" s="965"/>
      <c r="J44" s="934"/>
      <c r="K44" s="969"/>
      <c r="L44" s="977"/>
      <c r="M44" s="969"/>
      <c r="N44" s="978"/>
      <c r="O44" s="979"/>
    </row>
    <row r="45" spans="1:19" ht="15.75" customHeight="1" thickBot="1">
      <c r="A45" s="932" t="s">
        <v>105</v>
      </c>
      <c r="B45" s="936" t="s">
        <v>619</v>
      </c>
      <c r="C45" s="984">
        <v>17300</v>
      </c>
      <c r="D45" s="973">
        <v>18</v>
      </c>
      <c r="E45" s="974">
        <f t="shared" si="1"/>
        <v>3114</v>
      </c>
      <c r="F45" s="975">
        <v>0.7</v>
      </c>
      <c r="G45" s="964">
        <f>E45*F45</f>
        <v>2179.7999999999997</v>
      </c>
      <c r="H45" s="965">
        <f t="shared" si="0"/>
        <v>1147.07</v>
      </c>
      <c r="I45" s="985"/>
      <c r="J45" s="932" t="s">
        <v>105</v>
      </c>
      <c r="K45" s="986">
        <f>Q58*$O$55</f>
        <v>6924.0415718222112</v>
      </c>
      <c r="L45" s="977">
        <v>18</v>
      </c>
      <c r="M45" s="969">
        <f t="shared" si="2"/>
        <v>1246.3274829279981</v>
      </c>
      <c r="N45" s="978">
        <f>M45/$M$17</f>
        <v>1.0327345188674301E-3</v>
      </c>
      <c r="O45" s="979">
        <f>N45*$O$15</f>
        <v>1032.7345188674301</v>
      </c>
    </row>
    <row r="46" spans="1:19" ht="15.75" customHeight="1" thickBot="1">
      <c r="A46" s="933"/>
      <c r="B46" s="936" t="s">
        <v>602</v>
      </c>
      <c r="C46" s="983"/>
      <c r="D46" s="973"/>
      <c r="E46" s="974"/>
      <c r="F46" s="975"/>
      <c r="G46" s="964"/>
      <c r="H46" s="965"/>
      <c r="J46" s="934"/>
      <c r="K46" s="969"/>
      <c r="L46" s="977"/>
      <c r="M46" s="969"/>
      <c r="N46" s="978"/>
      <c r="O46" s="979"/>
    </row>
    <row r="47" spans="1:19" ht="15.75" customHeight="1" thickBot="1">
      <c r="A47" s="932" t="s">
        <v>106</v>
      </c>
      <c r="B47" s="936" t="s">
        <v>619</v>
      </c>
      <c r="C47" s="984">
        <v>669163</v>
      </c>
      <c r="D47" s="973">
        <v>19.5</v>
      </c>
      <c r="E47" s="974">
        <f t="shared" si="1"/>
        <v>130486.785</v>
      </c>
      <c r="F47" s="975">
        <v>0.7</v>
      </c>
      <c r="G47" s="964">
        <f>E47*F47</f>
        <v>91340.749499999991</v>
      </c>
      <c r="H47" s="965">
        <f t="shared" si="0"/>
        <v>6157.18</v>
      </c>
      <c r="I47" s="966"/>
      <c r="J47" s="932" t="s">
        <v>106</v>
      </c>
      <c r="K47" s="967">
        <v>527187</v>
      </c>
      <c r="L47" s="977">
        <v>19.5</v>
      </c>
      <c r="M47" s="969">
        <f t="shared" si="2"/>
        <v>102801.465</v>
      </c>
      <c r="N47" s="978">
        <f>M47/$M$17</f>
        <v>8.5183567681765812E-2</v>
      </c>
      <c r="O47" s="979">
        <f>N47*$O$15</f>
        <v>85183.56768176581</v>
      </c>
    </row>
    <row r="48" spans="1:19" ht="15.75" customHeight="1" thickBot="1">
      <c r="A48" s="933"/>
      <c r="B48" s="936" t="s">
        <v>602</v>
      </c>
      <c r="C48" s="980"/>
      <c r="D48" s="973"/>
      <c r="E48" s="974"/>
      <c r="F48" s="975"/>
      <c r="G48" s="964"/>
      <c r="H48" s="965"/>
      <c r="J48" s="934"/>
      <c r="K48" s="969"/>
      <c r="L48" s="977"/>
      <c r="M48" s="969"/>
      <c r="N48" s="978"/>
      <c r="O48" s="979"/>
    </row>
    <row r="49" spans="1:19" ht="15.75" customHeight="1" thickBot="1">
      <c r="A49" s="932" t="s">
        <v>107</v>
      </c>
      <c r="B49" s="936" t="s">
        <v>619</v>
      </c>
      <c r="C49" s="972">
        <v>328053</v>
      </c>
      <c r="D49" s="973">
        <v>19</v>
      </c>
      <c r="E49" s="974">
        <f t="shared" si="1"/>
        <v>62330.07</v>
      </c>
      <c r="F49" s="975">
        <v>0.7</v>
      </c>
      <c r="G49" s="964">
        <f>E49*F49</f>
        <v>43631.048999999999</v>
      </c>
      <c r="H49" s="965">
        <f t="shared" si="0"/>
        <v>5880.67</v>
      </c>
      <c r="I49" s="966"/>
      <c r="J49" s="932" t="s">
        <v>107</v>
      </c>
      <c r="K49" s="967">
        <v>239779</v>
      </c>
      <c r="L49" s="977">
        <v>19</v>
      </c>
      <c r="M49" s="969">
        <f t="shared" si="2"/>
        <v>45558.01</v>
      </c>
      <c r="N49" s="978">
        <f>M49/$M$17</f>
        <v>3.7750374746912056E-2</v>
      </c>
      <c r="O49" s="979">
        <f>N49*$O$15</f>
        <v>37750.374746912057</v>
      </c>
    </row>
    <row r="50" spans="1:19" ht="15.75" customHeight="1" thickBot="1">
      <c r="A50" s="934"/>
      <c r="B50" s="932" t="s">
        <v>602</v>
      </c>
      <c r="C50" s="988"/>
      <c r="D50" s="989"/>
      <c r="E50" s="989"/>
      <c r="F50" s="990"/>
      <c r="G50" s="991"/>
      <c r="H50" s="992"/>
      <c r="J50" s="934"/>
      <c r="K50" s="993"/>
      <c r="L50" s="994"/>
      <c r="M50" s="995"/>
      <c r="N50" s="995"/>
      <c r="O50" s="995"/>
    </row>
    <row r="51" spans="1:19" ht="15.75" customHeight="1">
      <c r="K51" s="996">
        <f>SUM(K19:K50)-K17</f>
        <v>0</v>
      </c>
    </row>
    <row r="53" spans="1:19">
      <c r="J53" s="997" t="s">
        <v>631</v>
      </c>
      <c r="K53" s="997"/>
      <c r="L53" s="997"/>
      <c r="M53" s="997"/>
      <c r="N53" s="997"/>
      <c r="O53" s="998">
        <f>K49+K47+K43+K41+K39+K37+K33+K31+K29+K27+K25+K23+K21+K19</f>
        <v>6619118</v>
      </c>
      <c r="P53" s="997"/>
      <c r="Q53" s="997"/>
      <c r="R53" s="997"/>
      <c r="S53" s="997"/>
    </row>
    <row r="54" spans="1:19">
      <c r="J54" s="997" t="s">
        <v>632</v>
      </c>
      <c r="K54" s="997"/>
      <c r="L54" s="997"/>
      <c r="M54" s="997"/>
      <c r="N54" s="997"/>
      <c r="O54" s="998">
        <f>K17</f>
        <v>6632481</v>
      </c>
      <c r="P54" s="998">
        <f>SUM(K19:K50)</f>
        <v>6632481</v>
      </c>
      <c r="Q54" s="999">
        <f>O54-P54</f>
        <v>0</v>
      </c>
      <c r="R54" s="997"/>
      <c r="S54" s="997"/>
    </row>
    <row r="55" spans="1:19" ht="15.75" thickBot="1">
      <c r="J55" s="1000" t="s">
        <v>633</v>
      </c>
      <c r="K55" s="1000"/>
      <c r="L55" s="1000"/>
      <c r="M55" s="1000"/>
      <c r="N55" s="1000"/>
      <c r="O55" s="1001">
        <f>O54-O53</f>
        <v>13363</v>
      </c>
      <c r="P55" s="997"/>
      <c r="Q55" s="997" t="s">
        <v>634</v>
      </c>
      <c r="R55" s="997"/>
      <c r="S55" s="997"/>
    </row>
    <row r="56" spans="1:19" ht="15.75" thickTop="1">
      <c r="J56" s="997"/>
      <c r="K56" s="997"/>
      <c r="L56" s="997"/>
      <c r="M56" s="997"/>
      <c r="N56" s="997"/>
      <c r="O56" s="997"/>
      <c r="P56" s="997"/>
      <c r="Q56" s="997" t="s">
        <v>635</v>
      </c>
      <c r="R56" s="997"/>
      <c r="S56" s="997"/>
    </row>
    <row r="57" spans="1:19">
      <c r="J57" s="997"/>
      <c r="K57" s="997"/>
      <c r="L57" s="997" t="s">
        <v>636</v>
      </c>
      <c r="M57" s="997"/>
      <c r="N57" s="997"/>
      <c r="O57" s="998">
        <f>C35</f>
        <v>16088</v>
      </c>
      <c r="P57" s="997"/>
      <c r="Q57" s="997">
        <f>O57/$O$59</f>
        <v>0.48184976638313165</v>
      </c>
      <c r="R57" s="997"/>
      <c r="S57" s="997"/>
    </row>
    <row r="58" spans="1:19">
      <c r="J58" s="997"/>
      <c r="K58" s="997"/>
      <c r="L58" s="997" t="s">
        <v>637</v>
      </c>
      <c r="M58" s="997"/>
      <c r="N58" s="997"/>
      <c r="O58" s="998">
        <f>C45</f>
        <v>17300</v>
      </c>
      <c r="P58" s="997"/>
      <c r="Q58" s="997">
        <f>O58/$O$59</f>
        <v>0.51815023361686829</v>
      </c>
      <c r="R58" s="997"/>
      <c r="S58" s="997"/>
    </row>
    <row r="59" spans="1:19" ht="15.75" thickBot="1">
      <c r="J59" s="997"/>
      <c r="K59" s="997"/>
      <c r="L59" s="1000" t="s">
        <v>71</v>
      </c>
      <c r="M59" s="1000"/>
      <c r="N59" s="1000"/>
      <c r="O59" s="1001">
        <f>SUM(O57:O58)</f>
        <v>33388</v>
      </c>
      <c r="P59" s="1001">
        <f t="shared" ref="P59:Q59" si="3">SUM(P57:P58)</f>
        <v>0</v>
      </c>
      <c r="Q59" s="1001">
        <f t="shared" si="3"/>
        <v>1</v>
      </c>
      <c r="R59" s="997"/>
      <c r="S59" s="997"/>
    </row>
    <row r="60" spans="1:19" ht="15.75" thickTop="1"/>
    <row r="70" spans="2:24">
      <c r="C70" s="931" t="s">
        <v>150</v>
      </c>
      <c r="E70" s="931" t="s">
        <v>152</v>
      </c>
    </row>
    <row r="75" spans="2:24">
      <c r="C75" s="808" t="s">
        <v>638</v>
      </c>
    </row>
    <row r="76" spans="2:24" ht="18" customHeight="1"/>
    <row r="79" spans="2:24" ht="18.75">
      <c r="B79" s="1002" t="s">
        <v>639</v>
      </c>
      <c r="C79" s="1003"/>
      <c r="D79" s="1003"/>
      <c r="E79" s="1003"/>
      <c r="F79" s="1003"/>
      <c r="G79" s="1003"/>
      <c r="H79" s="1003"/>
      <c r="I79" s="1003"/>
      <c r="J79" s="1003"/>
      <c r="K79" s="1003"/>
      <c r="L79" s="1003"/>
      <c r="M79" s="1003"/>
      <c r="N79" s="1003"/>
      <c r="O79" s="1003"/>
      <c r="P79" s="1003"/>
      <c r="Q79" s="1003"/>
      <c r="R79" s="1003"/>
      <c r="S79" s="1003"/>
      <c r="T79" s="1003"/>
      <c r="U79" s="1003"/>
      <c r="V79" s="1003"/>
      <c r="W79" s="1003"/>
      <c r="X79" s="1003"/>
    </row>
    <row r="80" spans="2:24">
      <c r="B80" s="1003"/>
      <c r="C80" s="1003"/>
      <c r="D80" s="1003"/>
      <c r="E80" s="1003"/>
      <c r="F80" s="1003"/>
      <c r="G80" s="1003"/>
      <c r="H80" s="1003"/>
      <c r="I80" s="1003"/>
      <c r="J80" s="1003"/>
      <c r="K80" s="1003"/>
      <c r="L80" s="1003"/>
      <c r="M80" s="1003"/>
      <c r="N80" s="1003"/>
      <c r="O80" s="1003"/>
      <c r="P80" s="1003"/>
      <c r="Q80" s="1003"/>
      <c r="R80" s="1003"/>
      <c r="S80" s="1003"/>
      <c r="T80" s="1003"/>
      <c r="U80" s="1003"/>
      <c r="V80" s="1003"/>
      <c r="W80" s="1003"/>
      <c r="X80" s="1003"/>
    </row>
    <row r="81" spans="2:24">
      <c r="B81" s="1003"/>
      <c r="C81" s="1003"/>
      <c r="D81" s="1004" t="s">
        <v>109</v>
      </c>
      <c r="E81" s="1004" t="s">
        <v>93</v>
      </c>
      <c r="F81" s="1004"/>
      <c r="G81" s="1004" t="s">
        <v>94</v>
      </c>
      <c r="H81" s="1004" t="s">
        <v>95</v>
      </c>
      <c r="I81" s="1004" t="s">
        <v>96</v>
      </c>
      <c r="J81" s="1004" t="s">
        <v>97</v>
      </c>
      <c r="K81" s="1004" t="s">
        <v>98</v>
      </c>
      <c r="L81" s="1004" t="s">
        <v>99</v>
      </c>
      <c r="M81" s="1004" t="s">
        <v>100</v>
      </c>
      <c r="N81" s="1004"/>
      <c r="O81" s="1004"/>
      <c r="P81" s="1004" t="s">
        <v>101</v>
      </c>
      <c r="Q81" s="1004" t="s">
        <v>102</v>
      </c>
      <c r="R81" s="1004" t="s">
        <v>103</v>
      </c>
      <c r="S81" s="1004" t="s">
        <v>108</v>
      </c>
      <c r="T81" s="1004" t="s">
        <v>104</v>
      </c>
      <c r="U81" s="1004" t="s">
        <v>105</v>
      </c>
      <c r="V81" s="1004" t="s">
        <v>106</v>
      </c>
      <c r="W81" s="1004" t="s">
        <v>107</v>
      </c>
      <c r="X81" s="1003"/>
    </row>
    <row r="82" spans="2:24">
      <c r="B82" s="1003"/>
      <c r="C82" s="1003"/>
      <c r="D82" s="1004" t="s">
        <v>139</v>
      </c>
      <c r="E82" s="1004" t="s">
        <v>139</v>
      </c>
      <c r="F82" s="1004"/>
      <c r="G82" s="1004" t="s">
        <v>139</v>
      </c>
      <c r="H82" s="1004" t="s">
        <v>139</v>
      </c>
      <c r="I82" s="1004" t="s">
        <v>139</v>
      </c>
      <c r="J82" s="1004" t="s">
        <v>139</v>
      </c>
      <c r="K82" s="1004" t="s">
        <v>139</v>
      </c>
      <c r="L82" s="1004" t="s">
        <v>139</v>
      </c>
      <c r="M82" s="1004" t="s">
        <v>139</v>
      </c>
      <c r="N82" s="1004"/>
      <c r="O82" s="1004"/>
      <c r="P82" s="1004" t="s">
        <v>139</v>
      </c>
      <c r="Q82" s="1004" t="s">
        <v>139</v>
      </c>
      <c r="R82" s="1004" t="s">
        <v>139</v>
      </c>
      <c r="S82" s="1004" t="s">
        <v>139</v>
      </c>
      <c r="T82" s="1004" t="s">
        <v>139</v>
      </c>
      <c r="U82" s="1004" t="s">
        <v>139</v>
      </c>
      <c r="V82" s="1004" t="s">
        <v>139</v>
      </c>
      <c r="W82" s="1004" t="s">
        <v>139</v>
      </c>
      <c r="X82" s="1003"/>
    </row>
    <row r="83" spans="2:24">
      <c r="B83" s="1003"/>
      <c r="C83" s="1003"/>
      <c r="D83" s="1004" t="s">
        <v>619</v>
      </c>
      <c r="E83" s="1004" t="s">
        <v>619</v>
      </c>
      <c r="F83" s="1004"/>
      <c r="G83" s="1004" t="s">
        <v>619</v>
      </c>
      <c r="H83" s="1004" t="s">
        <v>619</v>
      </c>
      <c r="I83" s="1004" t="s">
        <v>619</v>
      </c>
      <c r="J83" s="1004" t="s">
        <v>619</v>
      </c>
      <c r="K83" s="1004" t="s">
        <v>619</v>
      </c>
      <c r="L83" s="1004" t="s">
        <v>619</v>
      </c>
      <c r="M83" s="1004" t="s">
        <v>619</v>
      </c>
      <c r="N83" s="1004"/>
      <c r="O83" s="1004"/>
      <c r="P83" s="1004" t="s">
        <v>619</v>
      </c>
      <c r="Q83" s="1004" t="s">
        <v>619</v>
      </c>
      <c r="R83" s="1004" t="s">
        <v>619</v>
      </c>
      <c r="S83" s="1004" t="s">
        <v>619</v>
      </c>
      <c r="T83" s="1004" t="s">
        <v>619</v>
      </c>
      <c r="U83" s="1004" t="s">
        <v>619</v>
      </c>
      <c r="V83" s="1004" t="s">
        <v>619</v>
      </c>
      <c r="W83" s="1004" t="s">
        <v>619</v>
      </c>
      <c r="X83" s="1003"/>
    </row>
    <row r="84" spans="2:24">
      <c r="B84" s="1004" t="s">
        <v>640</v>
      </c>
      <c r="C84" s="1004" t="s">
        <v>620</v>
      </c>
      <c r="D84" s="1005">
        <v>6632481</v>
      </c>
      <c r="E84" s="1005">
        <v>77474</v>
      </c>
      <c r="F84" s="1005"/>
      <c r="G84" s="1005">
        <v>497872</v>
      </c>
      <c r="H84" s="1005">
        <v>952006</v>
      </c>
      <c r="I84" s="1005">
        <v>141308</v>
      </c>
      <c r="J84" s="1005">
        <v>322514</v>
      </c>
      <c r="K84" s="1005">
        <v>690417</v>
      </c>
      <c r="L84" s="1005">
        <v>616319</v>
      </c>
      <c r="M84" s="1005">
        <v>12137</v>
      </c>
      <c r="N84" s="1005"/>
      <c r="O84" s="1005"/>
      <c r="P84" s="1006" t="s">
        <v>641</v>
      </c>
      <c r="Q84" s="1005">
        <v>763574</v>
      </c>
      <c r="R84" s="1005">
        <v>225292</v>
      </c>
      <c r="S84" s="1005">
        <v>734755</v>
      </c>
      <c r="T84" s="1005">
        <v>818484</v>
      </c>
      <c r="U84" s="1006" t="s">
        <v>641</v>
      </c>
      <c r="V84" s="1005">
        <v>527187</v>
      </c>
      <c r="W84" s="1005">
        <v>239779</v>
      </c>
      <c r="X84" s="1003"/>
    </row>
    <row r="85" spans="2:24">
      <c r="B85" s="1003"/>
      <c r="C85" s="1004" t="s">
        <v>642</v>
      </c>
      <c r="D85" s="1007">
        <v>19156580</v>
      </c>
      <c r="E85" s="1007">
        <v>344963</v>
      </c>
      <c r="F85" s="1007"/>
      <c r="G85" s="1007">
        <v>722640</v>
      </c>
      <c r="H85" s="1007">
        <v>1692107</v>
      </c>
      <c r="I85" s="1007">
        <v>380756</v>
      </c>
      <c r="J85" s="1007">
        <v>439309</v>
      </c>
      <c r="K85" s="1007">
        <v>1136410</v>
      </c>
      <c r="L85" s="1007">
        <v>2647567</v>
      </c>
      <c r="M85" s="1007">
        <v>243463</v>
      </c>
      <c r="N85" s="1007"/>
      <c r="O85" s="1007"/>
      <c r="P85" s="1007">
        <v>208986</v>
      </c>
      <c r="Q85" s="1007">
        <v>1190080</v>
      </c>
      <c r="R85" s="1007">
        <v>257318</v>
      </c>
      <c r="S85" s="1007">
        <v>7654623</v>
      </c>
      <c r="T85" s="1007">
        <v>1136858</v>
      </c>
      <c r="U85" s="1007">
        <v>95465</v>
      </c>
      <c r="V85" s="1007">
        <v>648692</v>
      </c>
      <c r="W85" s="1007">
        <v>357345</v>
      </c>
      <c r="X85" s="1003"/>
    </row>
    <row r="86" spans="2:24">
      <c r="B86" s="1003"/>
      <c r="C86" s="1003"/>
      <c r="D86" s="1007"/>
      <c r="E86" s="1007"/>
      <c r="F86" s="1007"/>
      <c r="G86" s="1007"/>
      <c r="H86" s="1007"/>
      <c r="I86" s="1007"/>
      <c r="J86" s="1007"/>
      <c r="K86" s="1007"/>
      <c r="L86" s="1007"/>
      <c r="M86" s="1007"/>
      <c r="N86" s="1007"/>
      <c r="O86" s="1007"/>
      <c r="P86" s="1007"/>
      <c r="Q86" s="1007"/>
      <c r="R86" s="1007"/>
      <c r="S86" s="1007"/>
      <c r="T86" s="1007"/>
      <c r="U86" s="1007"/>
      <c r="V86" s="1007"/>
      <c r="W86" s="1007"/>
      <c r="X86" s="1003"/>
    </row>
    <row r="88" spans="2:24" ht="15.75">
      <c r="B88" s="1008" t="s">
        <v>643</v>
      </c>
      <c r="C88" s="1144"/>
      <c r="D88" s="1144"/>
      <c r="E88" s="1009"/>
      <c r="F88" s="1009"/>
      <c r="G88" s="1144"/>
      <c r="H88" s="1144"/>
      <c r="I88" s="1009"/>
      <c r="J88" s="1144"/>
      <c r="K88" s="1144"/>
      <c r="L88" s="1009"/>
      <c r="M88" s="1144"/>
      <c r="N88" s="1144"/>
      <c r="O88" s="1144"/>
      <c r="P88" s="1144"/>
      <c r="Q88" s="1009"/>
      <c r="R88" s="1009"/>
    </row>
    <row r="89" spans="2:24" ht="15.75" thickBot="1">
      <c r="B89" s="1010"/>
      <c r="C89" s="1143"/>
      <c r="D89" s="1143"/>
      <c r="E89" s="1010"/>
      <c r="F89" s="1010"/>
      <c r="G89" s="1143"/>
      <c r="H89" s="1143"/>
      <c r="I89" s="1010"/>
      <c r="J89" s="1143"/>
      <c r="K89" s="1143"/>
      <c r="L89" s="1010"/>
      <c r="M89" s="1143"/>
      <c r="N89" s="1143"/>
      <c r="O89" s="1143"/>
      <c r="P89" s="1143"/>
      <c r="Q89" s="1010"/>
      <c r="R89" s="1009"/>
    </row>
    <row r="90" spans="2:24">
      <c r="B90" s="1011"/>
      <c r="C90" s="1011"/>
      <c r="D90" s="1145" t="s">
        <v>644</v>
      </c>
      <c r="E90" s="1145"/>
      <c r="F90" s="1012"/>
      <c r="G90" s="1011"/>
      <c r="H90" s="1146" t="s">
        <v>645</v>
      </c>
      <c r="I90" s="1146"/>
      <c r="J90" s="1146"/>
      <c r="K90" s="1146"/>
      <c r="L90" s="1146"/>
      <c r="M90" s="1146"/>
      <c r="N90" s="1146"/>
      <c r="O90" s="1146"/>
      <c r="P90" s="1146"/>
      <c r="Q90" s="1146"/>
      <c r="R90" s="1009"/>
    </row>
    <row r="91" spans="2:24">
      <c r="B91" s="1011"/>
      <c r="C91" s="1011"/>
      <c r="D91" s="1147" t="s">
        <v>646</v>
      </c>
      <c r="E91" s="1147"/>
      <c r="F91" s="1012"/>
      <c r="G91" s="1011"/>
      <c r="H91" s="1148" t="s">
        <v>647</v>
      </c>
      <c r="I91" s="1148"/>
      <c r="J91" s="1011"/>
      <c r="K91" s="1148" t="s">
        <v>648</v>
      </c>
      <c r="L91" s="1148"/>
      <c r="M91" s="1011"/>
      <c r="N91" s="1011"/>
      <c r="O91" s="1011"/>
      <c r="P91" s="1148" t="s">
        <v>649</v>
      </c>
      <c r="Q91" s="1148"/>
      <c r="R91" s="1009"/>
    </row>
    <row r="92" spans="2:24">
      <c r="B92" s="1013"/>
      <c r="C92" s="1013"/>
      <c r="D92" s="1013">
        <v>2022</v>
      </c>
      <c r="E92" s="1013">
        <v>2023</v>
      </c>
      <c r="F92" s="1013"/>
      <c r="G92" s="1013"/>
      <c r="H92" s="1013">
        <v>2022</v>
      </c>
      <c r="I92" s="1013">
        <v>2023</v>
      </c>
      <c r="J92" s="1013"/>
      <c r="K92" s="1013">
        <v>2022</v>
      </c>
      <c r="L92" s="1013">
        <v>2023</v>
      </c>
      <c r="M92" s="1013"/>
      <c r="N92" s="1013"/>
      <c r="O92" s="1013"/>
      <c r="P92" s="1013">
        <v>2022</v>
      </c>
      <c r="Q92" s="1013">
        <v>2023</v>
      </c>
      <c r="R92" s="1009"/>
    </row>
    <row r="93" spans="2:24">
      <c r="B93" s="1014" t="s">
        <v>93</v>
      </c>
      <c r="C93" s="1014"/>
      <c r="D93" s="1014">
        <v>17.75</v>
      </c>
      <c r="E93" s="1015">
        <v>17.75</v>
      </c>
      <c r="F93" s="1015"/>
      <c r="G93" s="1014"/>
      <c r="H93" s="1014">
        <v>0</v>
      </c>
      <c r="I93" s="1014">
        <v>0</v>
      </c>
      <c r="J93" s="1014"/>
      <c r="K93" s="1014">
        <v>0.9</v>
      </c>
      <c r="L93" s="1014">
        <v>0.9</v>
      </c>
      <c r="M93" s="1014"/>
      <c r="N93" s="1014"/>
      <c r="O93" s="1014"/>
      <c r="P93" s="1014">
        <v>0</v>
      </c>
      <c r="Q93" s="1014">
        <v>0</v>
      </c>
      <c r="R93" s="1009"/>
    </row>
    <row r="94" spans="2:24">
      <c r="B94" s="1014" t="s">
        <v>94</v>
      </c>
      <c r="C94" s="1014"/>
      <c r="D94" s="1014">
        <v>19</v>
      </c>
      <c r="E94" s="1015">
        <v>18.5</v>
      </c>
      <c r="F94" s="1015"/>
      <c r="G94" s="1014"/>
      <c r="H94" s="1014">
        <v>0</v>
      </c>
      <c r="I94" s="1014">
        <v>0</v>
      </c>
      <c r="J94" s="1014"/>
      <c r="K94" s="1014">
        <v>0.9</v>
      </c>
      <c r="L94" s="1014">
        <v>0.9</v>
      </c>
      <c r="M94" s="1014"/>
      <c r="N94" s="1014"/>
      <c r="O94" s="1014"/>
      <c r="P94" s="1014">
        <v>0.7</v>
      </c>
      <c r="Q94" s="1014">
        <v>0.7</v>
      </c>
      <c r="R94" s="1009"/>
    </row>
    <row r="95" spans="2:24">
      <c r="B95" s="1014" t="s">
        <v>95</v>
      </c>
      <c r="C95" s="1014"/>
      <c r="D95" s="1014">
        <v>19.5</v>
      </c>
      <c r="E95" s="1015">
        <v>19.5</v>
      </c>
      <c r="F95" s="1015"/>
      <c r="G95" s="1014"/>
      <c r="H95" s="1014">
        <v>0</v>
      </c>
      <c r="I95" s="1014">
        <v>0</v>
      </c>
      <c r="J95" s="1014"/>
      <c r="K95" s="1014">
        <v>0.9</v>
      </c>
      <c r="L95" s="1014">
        <v>0.9</v>
      </c>
      <c r="M95" s="1014"/>
      <c r="N95" s="1014"/>
      <c r="O95" s="1014"/>
      <c r="P95" s="1014">
        <v>0.5</v>
      </c>
      <c r="Q95" s="1014">
        <v>0.5</v>
      </c>
      <c r="R95" s="1009"/>
    </row>
    <row r="96" spans="2:24">
      <c r="B96" s="1014" t="s">
        <v>96</v>
      </c>
      <c r="C96" s="1014"/>
      <c r="D96" s="1014">
        <v>17.5</v>
      </c>
      <c r="E96" s="1015">
        <v>17.5</v>
      </c>
      <c r="F96" s="1015"/>
      <c r="G96" s="1014"/>
      <c r="H96" s="1014">
        <v>0</v>
      </c>
      <c r="I96" s="1014">
        <v>0</v>
      </c>
      <c r="J96" s="1014"/>
      <c r="K96" s="1014">
        <v>0.9</v>
      </c>
      <c r="L96" s="1014">
        <v>0.9</v>
      </c>
      <c r="M96" s="1014"/>
      <c r="N96" s="1014"/>
      <c r="O96" s="1014"/>
      <c r="P96" s="1014">
        <v>0.9</v>
      </c>
      <c r="Q96" s="1014">
        <v>0.9</v>
      </c>
      <c r="R96" s="1009"/>
    </row>
    <row r="97" spans="2:18">
      <c r="B97" s="1014" t="s">
        <v>97</v>
      </c>
      <c r="C97" s="1014"/>
      <c r="D97" s="1014">
        <v>18.5</v>
      </c>
      <c r="E97" s="1015">
        <v>18.5</v>
      </c>
      <c r="F97" s="1015"/>
      <c r="G97" s="1014"/>
      <c r="H97" s="1014">
        <v>0</v>
      </c>
      <c r="I97" s="1014">
        <v>0</v>
      </c>
      <c r="J97" s="1014"/>
      <c r="K97" s="1014">
        <v>0.9</v>
      </c>
      <c r="L97" s="1014">
        <v>0.9</v>
      </c>
      <c r="M97" s="1014"/>
      <c r="N97" s="1014"/>
      <c r="O97" s="1014"/>
      <c r="P97" s="1014">
        <v>0.6</v>
      </c>
      <c r="Q97" s="1014">
        <v>0.6</v>
      </c>
      <c r="R97" s="1009"/>
    </row>
    <row r="98" spans="2:18">
      <c r="B98" s="1014" t="s">
        <v>98</v>
      </c>
      <c r="C98" s="1014"/>
      <c r="D98" s="1014">
        <v>18</v>
      </c>
      <c r="E98" s="1015">
        <v>18</v>
      </c>
      <c r="F98" s="1015"/>
      <c r="G98" s="1014"/>
      <c r="H98" s="1014">
        <v>0</v>
      </c>
      <c r="I98" s="1014">
        <v>0</v>
      </c>
      <c r="J98" s="1014"/>
      <c r="K98" s="1014">
        <v>0.9</v>
      </c>
      <c r="L98" s="1014">
        <v>0.9</v>
      </c>
      <c r="M98" s="1014"/>
      <c r="N98" s="1014"/>
      <c r="O98" s="1014"/>
      <c r="P98" s="1014">
        <v>0.2</v>
      </c>
      <c r="Q98" s="1014">
        <v>0.2</v>
      </c>
      <c r="R98" s="1009"/>
    </row>
    <row r="99" spans="2:18">
      <c r="B99" s="1011" t="s">
        <v>99</v>
      </c>
      <c r="C99" s="1011"/>
      <c r="D99" s="1014">
        <v>16.5</v>
      </c>
      <c r="E99" s="1015">
        <v>16.5</v>
      </c>
      <c r="F99" s="1015"/>
      <c r="G99" s="1016"/>
      <c r="H99" s="1014">
        <v>0</v>
      </c>
      <c r="I99" s="1014">
        <v>0</v>
      </c>
      <c r="J99" s="1016"/>
      <c r="K99" s="1014">
        <v>0.9</v>
      </c>
      <c r="L99" s="1014">
        <v>0.9</v>
      </c>
      <c r="M99" s="1016"/>
      <c r="N99" s="1016"/>
      <c r="O99" s="1016"/>
      <c r="P99" s="1014">
        <v>0.3</v>
      </c>
      <c r="Q99" s="1014">
        <v>0.3</v>
      </c>
      <c r="R99" s="1009"/>
    </row>
    <row r="100" spans="2:18">
      <c r="B100" s="1014" t="s">
        <v>100</v>
      </c>
      <c r="C100" s="1014"/>
      <c r="D100" s="1014">
        <v>18.5</v>
      </c>
      <c r="E100" s="1015">
        <v>18.5</v>
      </c>
      <c r="F100" s="1015"/>
      <c r="G100" s="1014"/>
      <c r="H100" s="1014">
        <v>0.2</v>
      </c>
      <c r="I100" s="1014">
        <v>0.2</v>
      </c>
      <c r="J100" s="1014"/>
      <c r="K100" s="1014">
        <v>0.9</v>
      </c>
      <c r="L100" s="1014">
        <v>0.9</v>
      </c>
      <c r="M100" s="1014"/>
      <c r="N100" s="1014"/>
      <c r="O100" s="1014"/>
      <c r="P100" s="1014">
        <v>0.6</v>
      </c>
      <c r="Q100" s="1014">
        <v>0.6</v>
      </c>
      <c r="R100" s="1009"/>
    </row>
    <row r="101" spans="2:18">
      <c r="B101" s="1014" t="s">
        <v>101</v>
      </c>
      <c r="C101" s="1014"/>
      <c r="D101" s="1014">
        <v>19.75</v>
      </c>
      <c r="E101" s="1015">
        <v>19.75</v>
      </c>
      <c r="F101" s="1015"/>
      <c r="G101" s="1014"/>
      <c r="H101" s="1014">
        <v>0</v>
      </c>
      <c r="I101" s="1014">
        <v>0</v>
      </c>
      <c r="J101" s="1014"/>
      <c r="K101" s="1014">
        <v>0.9</v>
      </c>
      <c r="L101" s="1014">
        <v>0.9</v>
      </c>
      <c r="M101" s="1014"/>
      <c r="N101" s="1014"/>
      <c r="O101" s="1014"/>
      <c r="P101" s="1014">
        <v>0.4</v>
      </c>
      <c r="Q101" s="1014">
        <v>0.4</v>
      </c>
      <c r="R101" s="1017"/>
    </row>
    <row r="102" spans="2:18">
      <c r="B102" s="1014" t="s">
        <v>102</v>
      </c>
      <c r="C102" s="1014"/>
      <c r="D102" s="1014">
        <v>17.5</v>
      </c>
      <c r="E102" s="1015">
        <v>17.5</v>
      </c>
      <c r="F102" s="1015"/>
      <c r="G102" s="1014"/>
      <c r="H102" s="1014">
        <v>0</v>
      </c>
      <c r="I102" s="1014">
        <v>0</v>
      </c>
      <c r="J102" s="1014"/>
      <c r="K102" s="1014">
        <v>0.9</v>
      </c>
      <c r="L102" s="1014">
        <v>0.9</v>
      </c>
      <c r="M102" s="1014"/>
      <c r="N102" s="1014"/>
      <c r="O102" s="1014"/>
      <c r="P102" s="1014">
        <v>1</v>
      </c>
      <c r="Q102" s="1014">
        <v>1</v>
      </c>
      <c r="R102" s="1009"/>
    </row>
    <row r="103" spans="2:18">
      <c r="B103" s="1011" t="s">
        <v>103</v>
      </c>
      <c r="C103" s="1011"/>
      <c r="D103" s="1014">
        <v>19.5</v>
      </c>
      <c r="E103" s="1015">
        <v>19.5</v>
      </c>
      <c r="F103" s="1015"/>
      <c r="G103" s="1016"/>
      <c r="H103" s="1014">
        <v>0</v>
      </c>
      <c r="I103" s="1014">
        <v>0</v>
      </c>
      <c r="J103" s="1016"/>
      <c r="K103" s="1014">
        <v>0.9</v>
      </c>
      <c r="L103" s="1014">
        <v>0.9</v>
      </c>
      <c r="M103" s="1016"/>
      <c r="N103" s="1016"/>
      <c r="O103" s="1016"/>
      <c r="P103" s="1014">
        <v>0.6</v>
      </c>
      <c r="Q103" s="1014">
        <v>0.6</v>
      </c>
      <c r="R103" s="1009"/>
    </row>
    <row r="104" spans="2:18">
      <c r="B104" s="1014" t="s">
        <v>104</v>
      </c>
      <c r="C104" s="1014"/>
      <c r="D104" s="1014">
        <v>18.5</v>
      </c>
      <c r="E104" s="1015">
        <v>18.25</v>
      </c>
      <c r="F104" s="1015"/>
      <c r="G104" s="1014"/>
      <c r="H104" s="1014">
        <v>0</v>
      </c>
      <c r="I104" s="1014">
        <v>0</v>
      </c>
      <c r="J104" s="1014"/>
      <c r="K104" s="1014">
        <v>0.9</v>
      </c>
      <c r="L104" s="1014">
        <v>0.9</v>
      </c>
      <c r="M104" s="1014"/>
      <c r="N104" s="1014"/>
      <c r="O104" s="1014"/>
      <c r="P104" s="1014">
        <v>0</v>
      </c>
      <c r="Q104" s="1014">
        <v>0</v>
      </c>
      <c r="R104" s="1009"/>
    </row>
    <row r="105" spans="2:18">
      <c r="B105" s="1014" t="s">
        <v>105</v>
      </c>
      <c r="C105" s="1014"/>
      <c r="D105" s="1014">
        <v>18</v>
      </c>
      <c r="E105" s="1015">
        <v>18</v>
      </c>
      <c r="F105" s="1015"/>
      <c r="G105" s="1014"/>
      <c r="H105" s="1014">
        <v>0.5</v>
      </c>
      <c r="I105" s="1014">
        <v>0.5</v>
      </c>
      <c r="J105" s="1014"/>
      <c r="K105" s="1014">
        <v>0.9</v>
      </c>
      <c r="L105" s="1014">
        <v>0.9</v>
      </c>
      <c r="M105" s="1014"/>
      <c r="N105" s="1014"/>
      <c r="O105" s="1014"/>
      <c r="P105" s="1014">
        <v>0</v>
      </c>
      <c r="Q105" s="1014">
        <v>0</v>
      </c>
      <c r="R105" s="1009"/>
    </row>
    <row r="106" spans="2:18">
      <c r="B106" s="1014" t="s">
        <v>106</v>
      </c>
      <c r="C106" s="1014"/>
      <c r="D106" s="1014">
        <v>19.5</v>
      </c>
      <c r="E106" s="1015">
        <v>19.5</v>
      </c>
      <c r="F106" s="1015"/>
      <c r="G106" s="1014"/>
      <c r="H106" s="1014">
        <v>0</v>
      </c>
      <c r="I106" s="1014">
        <v>0</v>
      </c>
      <c r="J106" s="1014"/>
      <c r="K106" s="1014">
        <v>0.9</v>
      </c>
      <c r="L106" s="1014">
        <v>0.9</v>
      </c>
      <c r="M106" s="1014"/>
      <c r="N106" s="1014"/>
      <c r="O106" s="1014"/>
      <c r="P106" s="1014">
        <v>0.5</v>
      </c>
      <c r="Q106" s="1014">
        <v>0.5</v>
      </c>
      <c r="R106" s="1009"/>
    </row>
    <row r="107" spans="2:18">
      <c r="B107" s="1014" t="s">
        <v>107</v>
      </c>
      <c r="C107" s="1014"/>
      <c r="D107" s="1014">
        <v>19</v>
      </c>
      <c r="E107" s="1015">
        <v>19</v>
      </c>
      <c r="F107" s="1015"/>
      <c r="G107" s="1014"/>
      <c r="H107" s="1014">
        <v>0</v>
      </c>
      <c r="I107" s="1014">
        <v>0</v>
      </c>
      <c r="J107" s="1014"/>
      <c r="K107" s="1014">
        <v>0.9</v>
      </c>
      <c r="L107" s="1014">
        <v>0.9</v>
      </c>
      <c r="M107" s="1014"/>
      <c r="N107" s="1014"/>
      <c r="O107" s="1014"/>
      <c r="P107" s="1014">
        <v>0.1</v>
      </c>
      <c r="Q107" s="1014">
        <v>0.1</v>
      </c>
      <c r="R107" s="1009"/>
    </row>
    <row r="108" spans="2:18">
      <c r="B108" s="1011" t="s">
        <v>108</v>
      </c>
      <c r="C108" s="1011"/>
      <c r="D108" s="1014">
        <v>17</v>
      </c>
      <c r="E108" s="1015">
        <v>17</v>
      </c>
      <c r="F108" s="1015"/>
      <c r="G108" s="1016"/>
      <c r="H108" s="1014">
        <v>0.5</v>
      </c>
      <c r="I108" s="1014">
        <v>0.5</v>
      </c>
      <c r="J108" s="1016"/>
      <c r="K108" s="1014">
        <v>0.9</v>
      </c>
      <c r="L108" s="1014">
        <v>0.9</v>
      </c>
      <c r="M108" s="1016"/>
      <c r="N108" s="1016"/>
      <c r="O108" s="1016"/>
      <c r="P108" s="1014">
        <v>0.5</v>
      </c>
      <c r="Q108" s="1014">
        <v>0.5</v>
      </c>
      <c r="R108" s="1009"/>
    </row>
    <row r="109" spans="2:18">
      <c r="B109" s="1011" t="s">
        <v>603</v>
      </c>
      <c r="C109" s="1011"/>
      <c r="D109" s="1014">
        <v>17.899999999999999</v>
      </c>
      <c r="E109" s="1015">
        <v>17.850000000000001</v>
      </c>
      <c r="F109" s="1015"/>
      <c r="G109" s="1016"/>
      <c r="H109" s="1014">
        <v>0.01</v>
      </c>
      <c r="I109" s="1014">
        <v>0.01</v>
      </c>
      <c r="J109" s="1016"/>
      <c r="K109" s="1014">
        <v>0.9</v>
      </c>
      <c r="L109" s="1014">
        <v>0.9</v>
      </c>
      <c r="M109" s="1016"/>
      <c r="N109" s="1016"/>
      <c r="O109" s="1016"/>
      <c r="P109" s="1014">
        <v>0.41</v>
      </c>
      <c r="Q109" s="1014">
        <v>0.41</v>
      </c>
      <c r="R109" s="1009"/>
    </row>
    <row r="110" spans="2:18">
      <c r="B110" s="1011" t="s">
        <v>604</v>
      </c>
      <c r="C110" s="1011"/>
      <c r="D110" s="1014">
        <v>17.850000000000001</v>
      </c>
      <c r="E110" s="1015">
        <v>17.8</v>
      </c>
      <c r="F110" s="1015"/>
      <c r="G110" s="1016"/>
      <c r="H110" s="1014">
        <v>0</v>
      </c>
      <c r="I110" s="1014">
        <v>0</v>
      </c>
      <c r="J110" s="1016"/>
      <c r="K110" s="1014">
        <v>0.9</v>
      </c>
      <c r="L110" s="1014">
        <v>0.9</v>
      </c>
      <c r="M110" s="1016"/>
      <c r="N110" s="1016"/>
      <c r="O110" s="1016"/>
      <c r="P110" s="1014">
        <v>0.43</v>
      </c>
      <c r="Q110" s="1014">
        <v>0.44</v>
      </c>
      <c r="R110" s="1009"/>
    </row>
    <row r="111" spans="2:18">
      <c r="B111" s="1011" t="s">
        <v>605</v>
      </c>
      <c r="C111" s="1011"/>
      <c r="D111" s="1014">
        <v>18.28</v>
      </c>
      <c r="E111" s="1015">
        <v>18.28</v>
      </c>
      <c r="F111" s="1015"/>
      <c r="G111" s="1016"/>
      <c r="H111" s="1014">
        <v>0.05</v>
      </c>
      <c r="I111" s="1014">
        <v>0.05</v>
      </c>
      <c r="J111" s="1016"/>
      <c r="K111" s="1014">
        <v>0.9</v>
      </c>
      <c r="L111" s="1014">
        <v>0.9</v>
      </c>
      <c r="M111" s="1016"/>
      <c r="N111" s="1016"/>
      <c r="O111" s="1016"/>
      <c r="P111" s="1014">
        <v>0.31</v>
      </c>
      <c r="Q111" s="1014">
        <v>0.31</v>
      </c>
      <c r="R111" s="1009"/>
    </row>
    <row r="112" spans="2:18" ht="15.75" thickBot="1">
      <c r="B112" s="1018" t="s">
        <v>109</v>
      </c>
      <c r="C112" s="1018"/>
      <c r="D112" s="1019">
        <v>17.52</v>
      </c>
      <c r="E112" s="1020">
        <v>17.489999999999998</v>
      </c>
      <c r="F112" s="1020"/>
      <c r="G112" s="1021"/>
      <c r="H112" s="1019">
        <v>0.22</v>
      </c>
      <c r="I112" s="1019">
        <v>0.22</v>
      </c>
      <c r="J112" s="1021"/>
      <c r="K112" s="1019">
        <v>0.9</v>
      </c>
      <c r="L112" s="1019">
        <v>0.9</v>
      </c>
      <c r="M112" s="1021"/>
      <c r="N112" s="1021"/>
      <c r="O112" s="1021"/>
      <c r="P112" s="1019">
        <v>0.45</v>
      </c>
      <c r="Q112" s="1019">
        <v>0.45</v>
      </c>
      <c r="R112" s="1009"/>
    </row>
    <row r="113" spans="2:18">
      <c r="B113" s="1022" t="s">
        <v>650</v>
      </c>
      <c r="C113" s="1149"/>
      <c r="D113" s="1149"/>
      <c r="E113" s="1009"/>
      <c r="F113" s="1009"/>
      <c r="G113" s="1149"/>
      <c r="H113" s="1149"/>
      <c r="I113" s="1009"/>
      <c r="J113" s="1149"/>
      <c r="K113" s="1149"/>
      <c r="L113" s="1009"/>
      <c r="M113" s="1149"/>
      <c r="N113" s="1149"/>
      <c r="O113" s="1149"/>
      <c r="P113" s="1149"/>
      <c r="Q113" s="1009"/>
      <c r="R113" s="1009"/>
    </row>
    <row r="114" spans="2:18">
      <c r="B114" s="1022" t="s">
        <v>595</v>
      </c>
      <c r="C114" s="1144"/>
      <c r="D114" s="1144"/>
      <c r="E114" s="1009"/>
      <c r="F114" s="1009"/>
      <c r="G114" s="1144"/>
      <c r="H114" s="1144"/>
      <c r="I114" s="1009"/>
      <c r="J114" s="1144"/>
      <c r="K114" s="1144"/>
      <c r="L114" s="1009"/>
      <c r="M114" s="1144"/>
      <c r="N114" s="1144"/>
      <c r="O114" s="1144"/>
      <c r="P114" s="1144"/>
      <c r="Q114" s="1009"/>
      <c r="R114" s="1009"/>
    </row>
    <row r="115" spans="2:18">
      <c r="B115" s="1023" t="s">
        <v>651</v>
      </c>
      <c r="C115" s="1144"/>
      <c r="D115" s="1144"/>
      <c r="E115" s="1009"/>
      <c r="F115" s="1009"/>
      <c r="G115" s="1144"/>
      <c r="H115" s="1144"/>
      <c r="I115" s="1009"/>
      <c r="J115" s="1144"/>
      <c r="K115" s="1144"/>
      <c r="L115" s="1009"/>
      <c r="M115" s="1144"/>
      <c r="N115" s="1144"/>
      <c r="O115" s="1144"/>
      <c r="P115" s="1144"/>
      <c r="Q115" s="1009"/>
      <c r="R115" s="1009"/>
    </row>
    <row r="116" spans="2:18" s="1026" customFormat="1">
      <c r="B116" s="1024"/>
      <c r="C116" s="1150"/>
      <c r="D116" s="1150"/>
      <c r="E116" s="1025"/>
      <c r="F116" s="1025"/>
      <c r="G116" s="1150"/>
      <c r="H116" s="1150"/>
      <c r="I116" s="1025"/>
      <c r="J116" s="1150"/>
      <c r="K116" s="1150"/>
      <c r="L116" s="1025"/>
      <c r="M116" s="1150"/>
      <c r="N116" s="1150"/>
      <c r="O116" s="1150"/>
      <c r="P116" s="1150"/>
      <c r="Q116" s="1025"/>
      <c r="R116" s="1025"/>
    </row>
    <row r="117" spans="2:18" s="1026" customFormat="1">
      <c r="B117" s="1025"/>
      <c r="C117" s="1150"/>
      <c r="D117" s="1150"/>
      <c r="E117" s="1025"/>
      <c r="F117" s="1025"/>
      <c r="G117" s="1150"/>
      <c r="H117" s="1150"/>
      <c r="I117" s="1025"/>
      <c r="J117" s="1150"/>
      <c r="K117" s="1150"/>
      <c r="L117" s="1025"/>
      <c r="M117" s="1150"/>
      <c r="N117" s="1150"/>
      <c r="O117" s="1150"/>
      <c r="P117" s="1150"/>
      <c r="Q117" s="1025"/>
      <c r="R117" s="1025"/>
    </row>
    <row r="118" spans="2:18">
      <c r="B118" s="1009"/>
      <c r="C118" s="1009"/>
      <c r="D118" s="1009"/>
      <c r="E118" s="1009"/>
      <c r="F118" s="1009"/>
      <c r="G118" s="1009"/>
      <c r="H118" s="1009"/>
      <c r="I118" s="1009"/>
      <c r="J118" s="1009"/>
      <c r="K118" s="1009"/>
      <c r="L118" s="1009"/>
      <c r="M118" s="1009"/>
      <c r="N118" s="1009"/>
      <c r="O118" s="1009"/>
      <c r="P118" s="1009"/>
      <c r="Q118" s="1009"/>
      <c r="R118" s="1009"/>
    </row>
    <row r="119" spans="2:18">
      <c r="B119" s="1009"/>
      <c r="C119" s="1009"/>
      <c r="D119" s="1009"/>
      <c r="E119" s="1009"/>
      <c r="F119" s="1009"/>
      <c r="G119" s="1009"/>
      <c r="H119" s="1009"/>
      <c r="I119" s="1009"/>
      <c r="J119" s="1009"/>
      <c r="K119" s="1009"/>
      <c r="L119" s="1009"/>
      <c r="M119" s="1009"/>
      <c r="N119" s="1009"/>
      <c r="O119" s="1009"/>
      <c r="P119" s="1009"/>
      <c r="Q119" s="1009"/>
      <c r="R119" s="1009"/>
    </row>
    <row r="120" spans="2:18" ht="15.75" thickBot="1"/>
    <row r="121" spans="2:18" ht="15" customHeight="1">
      <c r="F121" s="1139" t="s">
        <v>652</v>
      </c>
      <c r="G121" s="1141">
        <v>1000000</v>
      </c>
      <c r="H121" s="1027"/>
      <c r="J121" s="1139" t="s">
        <v>653</v>
      </c>
      <c r="K121" s="1141">
        <v>1118249</v>
      </c>
    </row>
    <row r="122" spans="2:18" ht="31.5" customHeight="1" thickBot="1">
      <c r="C122" s="1028"/>
      <c r="F122" s="1140"/>
      <c r="G122" s="1142"/>
      <c r="H122" s="1029"/>
      <c r="I122" s="1030"/>
      <c r="J122" s="1140"/>
      <c r="K122" s="1142"/>
      <c r="L122" s="1031"/>
    </row>
    <row r="123" spans="2:18" ht="99.75" customHeight="1" thickTop="1" thickBot="1">
      <c r="B123" s="1032"/>
      <c r="C123" s="1033" t="s">
        <v>155</v>
      </c>
      <c r="D123" s="1034" t="s">
        <v>151</v>
      </c>
      <c r="E123" s="1035" t="s">
        <v>654</v>
      </c>
      <c r="F123" s="1036" t="s">
        <v>153</v>
      </c>
      <c r="G123" s="1036" t="s">
        <v>154</v>
      </c>
      <c r="H123" s="1037" t="s">
        <v>655</v>
      </c>
      <c r="I123" s="1038" t="s">
        <v>656</v>
      </c>
      <c r="J123" s="1036" t="s">
        <v>628</v>
      </c>
      <c r="K123" s="1036" t="s">
        <v>657</v>
      </c>
      <c r="L123" s="1039" t="s">
        <v>629</v>
      </c>
      <c r="M123" s="1040"/>
    </row>
    <row r="124" spans="2:18" ht="22.5" customHeight="1" thickBot="1">
      <c r="B124" s="1041" t="s">
        <v>109</v>
      </c>
      <c r="C124" s="1042">
        <v>6632481</v>
      </c>
      <c r="D124" s="1043">
        <v>17.489999999999998</v>
      </c>
      <c r="E124" s="1044">
        <v>1206876.7643521384</v>
      </c>
      <c r="F124" s="1045">
        <v>1</v>
      </c>
      <c r="G124" s="1046">
        <v>1000000.0000000001</v>
      </c>
      <c r="H124" s="1047">
        <v>8786867</v>
      </c>
      <c r="I124" s="1048">
        <v>1597498.1725000001</v>
      </c>
      <c r="J124" s="1049">
        <v>0.7</v>
      </c>
      <c r="K124" s="1050">
        <v>1118248.7207499999</v>
      </c>
      <c r="L124" s="1051">
        <v>118248.72074999986</v>
      </c>
      <c r="M124" s="1052"/>
    </row>
    <row r="125" spans="2:18" ht="22.5" customHeight="1" thickBot="1">
      <c r="B125" s="1053" t="s">
        <v>93</v>
      </c>
      <c r="C125" s="1042">
        <v>77474</v>
      </c>
      <c r="D125" s="1054">
        <v>17.75</v>
      </c>
      <c r="E125" s="1055">
        <v>13751.635</v>
      </c>
      <c r="F125" s="1056">
        <v>1.1394398671170038E-2</v>
      </c>
      <c r="G125" s="1046">
        <v>11394.398671170038</v>
      </c>
      <c r="H125" s="1047">
        <v>104606</v>
      </c>
      <c r="I125" s="1048">
        <v>18567.564999999999</v>
      </c>
      <c r="J125" s="1057">
        <v>0.7</v>
      </c>
      <c r="K125" s="1058">
        <v>12997.295499999998</v>
      </c>
      <c r="L125" s="1059">
        <v>1602.386577666648</v>
      </c>
      <c r="M125" s="1052"/>
    </row>
    <row r="126" spans="2:18" ht="22.5" customHeight="1" thickBot="1">
      <c r="B126" s="1053" t="s">
        <v>94</v>
      </c>
      <c r="C126" s="1042">
        <v>497872</v>
      </c>
      <c r="D126" s="1054">
        <v>18.5</v>
      </c>
      <c r="E126" s="1055">
        <v>92106.32</v>
      </c>
      <c r="F126" s="1056">
        <v>7.6317916394258736E-2</v>
      </c>
      <c r="G126" s="1046">
        <v>76317.916394258733</v>
      </c>
      <c r="H126" s="1047">
        <v>610428</v>
      </c>
      <c r="I126" s="1048">
        <v>112929.18</v>
      </c>
      <c r="J126" s="1057">
        <v>0.7</v>
      </c>
      <c r="K126" s="1058">
        <v>79050.425999999992</v>
      </c>
      <c r="L126" s="1059">
        <v>2729.0920225281589</v>
      </c>
      <c r="M126" s="1052"/>
    </row>
    <row r="127" spans="2:18" ht="22.5" customHeight="1" thickBot="1">
      <c r="B127" s="1053" t="s">
        <v>95</v>
      </c>
      <c r="C127" s="1042">
        <v>952006</v>
      </c>
      <c r="D127" s="1054">
        <v>19.5</v>
      </c>
      <c r="E127" s="1055">
        <v>185641.17</v>
      </c>
      <c r="F127" s="1056">
        <v>0.15381949133775374</v>
      </c>
      <c r="G127" s="1046">
        <v>153819.49133775375</v>
      </c>
      <c r="H127" s="1047">
        <v>1239265</v>
      </c>
      <c r="I127" s="1048">
        <v>241656.67499999999</v>
      </c>
      <c r="J127" s="1057">
        <v>0.7</v>
      </c>
      <c r="K127" s="1058">
        <v>169159.67249999999</v>
      </c>
      <c r="L127" s="1059">
        <v>15333.292990552378</v>
      </c>
      <c r="M127" s="1052"/>
    </row>
    <row r="128" spans="2:18" ht="22.5" customHeight="1" thickBot="1">
      <c r="B128" s="1053" t="s">
        <v>96</v>
      </c>
      <c r="C128" s="1042">
        <v>141308</v>
      </c>
      <c r="D128" s="1054">
        <v>17.5</v>
      </c>
      <c r="E128" s="1055">
        <v>24728.9</v>
      </c>
      <c r="F128" s="1056">
        <v>2.0489995938628151E-2</v>
      </c>
      <c r="G128" s="1046">
        <v>20489.995938628152</v>
      </c>
      <c r="H128" s="1047">
        <v>175064</v>
      </c>
      <c r="I128" s="1048">
        <v>30636.2</v>
      </c>
      <c r="J128" s="1057">
        <v>0.7</v>
      </c>
      <c r="K128" s="1058">
        <v>21445.34</v>
      </c>
      <c r="L128" s="1059">
        <v>954.42650138771205</v>
      </c>
      <c r="M128" s="1052"/>
    </row>
    <row r="129" spans="2:13" ht="22.5" customHeight="1" thickBot="1">
      <c r="B129" s="1053" t="s">
        <v>97</v>
      </c>
      <c r="C129" s="1042">
        <v>322514</v>
      </c>
      <c r="D129" s="1054">
        <v>18.5</v>
      </c>
      <c r="E129" s="1055">
        <v>59665.09</v>
      </c>
      <c r="F129" s="1056">
        <v>4.9437599398998056E-2</v>
      </c>
      <c r="G129" s="1046">
        <v>49437.599398998056</v>
      </c>
      <c r="H129" s="1047">
        <v>404256</v>
      </c>
      <c r="I129" s="1048">
        <v>74787.360000000001</v>
      </c>
      <c r="J129" s="1057">
        <v>0.7</v>
      </c>
      <c r="K129" s="1058">
        <v>52351.151999999995</v>
      </c>
      <c r="L129" s="1059">
        <v>2911.3387419530554</v>
      </c>
      <c r="M129" s="1052"/>
    </row>
    <row r="130" spans="2:13" ht="22.5" customHeight="1" thickBot="1">
      <c r="B130" s="1053" t="s">
        <v>98</v>
      </c>
      <c r="C130" s="1042">
        <v>690417</v>
      </c>
      <c r="D130" s="1054">
        <v>18</v>
      </c>
      <c r="E130" s="1055">
        <v>124275.06</v>
      </c>
      <c r="F130" s="1056">
        <v>0.10297245225920966</v>
      </c>
      <c r="G130" s="1046">
        <v>102972.45225920966</v>
      </c>
      <c r="H130" s="1047">
        <v>1047526</v>
      </c>
      <c r="I130" s="1048">
        <v>188554.68</v>
      </c>
      <c r="J130" s="1057">
        <v>0.7</v>
      </c>
      <c r="K130" s="1058">
        <v>131988.27599999998</v>
      </c>
      <c r="L130" s="1059">
        <v>29011.212544090013</v>
      </c>
      <c r="M130" s="1052"/>
    </row>
    <row r="131" spans="2:13" ht="22.5" customHeight="1" thickBot="1">
      <c r="B131" s="1053" t="s">
        <v>99</v>
      </c>
      <c r="C131" s="1042">
        <v>616319</v>
      </c>
      <c r="D131" s="1054">
        <v>16.5</v>
      </c>
      <c r="E131" s="1055">
        <v>101692.63499999999</v>
      </c>
      <c r="F131" s="1056">
        <v>8.4260993337285317E-2</v>
      </c>
      <c r="G131" s="1046">
        <v>84260.993337285312</v>
      </c>
      <c r="H131" s="1047">
        <v>846429</v>
      </c>
      <c r="I131" s="1048">
        <v>139660.785</v>
      </c>
      <c r="J131" s="1057">
        <v>0.7</v>
      </c>
      <c r="K131" s="1058">
        <v>97762.549499999994</v>
      </c>
      <c r="L131" s="1059">
        <v>13497.782881551451</v>
      </c>
      <c r="M131" s="1052"/>
    </row>
    <row r="132" spans="2:13" ht="22.5" customHeight="1" thickBot="1">
      <c r="B132" s="1053" t="s">
        <v>100</v>
      </c>
      <c r="C132" s="1042">
        <v>12137</v>
      </c>
      <c r="D132" s="1054">
        <v>18.5</v>
      </c>
      <c r="E132" s="1055">
        <v>2245.3449999999998</v>
      </c>
      <c r="F132" s="1056">
        <v>1.8604592169817107E-3</v>
      </c>
      <c r="G132" s="1046">
        <v>1860.4592169817106</v>
      </c>
      <c r="H132" s="1047">
        <v>23407</v>
      </c>
      <c r="I132" s="1048">
        <v>4330.2950000000001</v>
      </c>
      <c r="J132" s="1057">
        <v>0.7</v>
      </c>
      <c r="K132" s="1058">
        <v>3031.2064999999998</v>
      </c>
      <c r="L132" s="1059">
        <v>1170.6639700232681</v>
      </c>
      <c r="M132" s="1052"/>
    </row>
    <row r="133" spans="2:13" ht="22.5" customHeight="1" thickBot="1">
      <c r="B133" s="1053" t="s">
        <v>101</v>
      </c>
      <c r="C133" s="1042">
        <v>9527.1058364817018</v>
      </c>
      <c r="D133" s="1054">
        <v>19.75</v>
      </c>
      <c r="E133" s="1055">
        <v>1881.6034027051362</v>
      </c>
      <c r="F133" s="1056">
        <v>1.5590683807018165E-3</v>
      </c>
      <c r="G133" s="1046">
        <v>1559.0683807018165</v>
      </c>
      <c r="H133" s="1047">
        <v>16088</v>
      </c>
      <c r="I133" s="1048">
        <v>3177.38</v>
      </c>
      <c r="J133" s="1057">
        <v>0.7</v>
      </c>
      <c r="K133" s="1058">
        <v>2224.1659999999997</v>
      </c>
      <c r="L133" s="1059">
        <v>1170.4119840851008</v>
      </c>
      <c r="M133" s="1052"/>
    </row>
    <row r="134" spans="2:13" ht="22.5" customHeight="1" thickBot="1">
      <c r="B134" s="1053" t="s">
        <v>102</v>
      </c>
      <c r="C134" s="1042">
        <v>763574</v>
      </c>
      <c r="D134" s="1054">
        <v>17.5</v>
      </c>
      <c r="E134" s="1055">
        <v>133625.45000000001</v>
      </c>
      <c r="F134" s="1056">
        <v>0.1107200452829426</v>
      </c>
      <c r="G134" s="1046">
        <v>110720.04528294261</v>
      </c>
      <c r="H134" s="1047">
        <v>1010739</v>
      </c>
      <c r="I134" s="1048">
        <v>176879.32500000001</v>
      </c>
      <c r="J134" s="1057">
        <v>0.7</v>
      </c>
      <c r="K134" s="1058">
        <v>123815.5275</v>
      </c>
      <c r="L134" s="1059">
        <v>13090.524076348258</v>
      </c>
      <c r="M134" s="1052"/>
    </row>
    <row r="135" spans="2:13" ht="22.5" customHeight="1" thickBot="1">
      <c r="B135" s="1053" t="s">
        <v>103</v>
      </c>
      <c r="C135" s="1042">
        <v>225292</v>
      </c>
      <c r="D135" s="1054">
        <v>19.5</v>
      </c>
      <c r="E135" s="1055">
        <v>43931.94</v>
      </c>
      <c r="F135" s="1056">
        <v>3.6401347094939751E-2</v>
      </c>
      <c r="G135" s="1046">
        <v>36401.347094939752</v>
      </c>
      <c r="H135" s="1047">
        <v>273609</v>
      </c>
      <c r="I135" s="1048">
        <v>53353.754999999997</v>
      </c>
      <c r="J135" s="1057">
        <v>0.7</v>
      </c>
      <c r="K135" s="1058">
        <v>37347.628499999999</v>
      </c>
      <c r="L135" s="1059">
        <v>944.65132081996126</v>
      </c>
      <c r="M135" s="1052"/>
    </row>
    <row r="136" spans="2:13" ht="22.5" customHeight="1" thickBot="1">
      <c r="B136" s="1053" t="s">
        <v>108</v>
      </c>
      <c r="C136" s="1042">
        <v>734755</v>
      </c>
      <c r="D136" s="1054">
        <v>17</v>
      </c>
      <c r="E136" s="1055">
        <v>124908.35</v>
      </c>
      <c r="F136" s="1056">
        <v>0.10349718686236524</v>
      </c>
      <c r="G136" s="1046">
        <v>103497.18686236524</v>
      </c>
      <c r="H136" s="1047">
        <v>942907</v>
      </c>
      <c r="I136" s="1048">
        <v>160294.19</v>
      </c>
      <c r="J136" s="1057">
        <v>0.7</v>
      </c>
      <c r="K136" s="1058">
        <v>112205.93299999999</v>
      </c>
      <c r="L136" s="1059">
        <v>8704.1114428588189</v>
      </c>
      <c r="M136" s="1052"/>
    </row>
    <row r="137" spans="2:13" ht="22.5" customHeight="1" thickBot="1">
      <c r="B137" s="1053" t="s">
        <v>104</v>
      </c>
      <c r="C137" s="1042">
        <v>818484</v>
      </c>
      <c r="D137" s="1054">
        <v>18.25</v>
      </c>
      <c r="E137" s="1055">
        <v>149373.32999999999</v>
      </c>
      <c r="F137" s="1056">
        <v>0.12376850264424873</v>
      </c>
      <c r="G137" s="1046">
        <v>123768.50264424873</v>
      </c>
      <c r="H137" s="1047">
        <v>1078027</v>
      </c>
      <c r="I137" s="1048">
        <v>196739.92749999999</v>
      </c>
      <c r="J137" s="1057">
        <v>0.7</v>
      </c>
      <c r="K137" s="1058">
        <v>137717.94924999998</v>
      </c>
      <c r="L137" s="1059">
        <v>13943.904143680338</v>
      </c>
      <c r="M137" s="1052"/>
    </row>
    <row r="138" spans="2:13" ht="22.5" customHeight="1" thickBot="1">
      <c r="B138" s="1053" t="s">
        <v>105</v>
      </c>
      <c r="C138" s="1042">
        <v>3835.8941635182991</v>
      </c>
      <c r="D138" s="1054">
        <v>18</v>
      </c>
      <c r="E138" s="1055">
        <v>690.46094943329388</v>
      </c>
      <c r="F138" s="1056">
        <v>5.7210559505960754E-4</v>
      </c>
      <c r="G138" s="1046">
        <v>572.10559505960759</v>
      </c>
      <c r="H138" s="1047">
        <v>17300</v>
      </c>
      <c r="I138" s="1048">
        <v>3114</v>
      </c>
      <c r="J138" s="1057">
        <v>0.7</v>
      </c>
      <c r="K138" s="1058">
        <v>2179.7999999999997</v>
      </c>
      <c r="L138" s="1059">
        <v>1147.0654811325696</v>
      </c>
      <c r="M138" s="1052"/>
    </row>
    <row r="139" spans="2:13" ht="22.5" customHeight="1" thickBot="1">
      <c r="B139" s="1053" t="s">
        <v>106</v>
      </c>
      <c r="C139" s="1042">
        <v>527187</v>
      </c>
      <c r="D139" s="1054">
        <v>19.5</v>
      </c>
      <c r="E139" s="1055">
        <v>102801.465</v>
      </c>
      <c r="F139" s="1056">
        <v>8.5179753257727753E-2</v>
      </c>
      <c r="G139" s="1046">
        <v>85179.75325772776</v>
      </c>
      <c r="H139" s="1047">
        <v>669163</v>
      </c>
      <c r="I139" s="1048">
        <v>130486.785</v>
      </c>
      <c r="J139" s="1057">
        <v>0.7</v>
      </c>
      <c r="K139" s="1058">
        <v>91340.749499999991</v>
      </c>
      <c r="L139" s="1059">
        <v>6157.1818182341813</v>
      </c>
      <c r="M139" s="1052"/>
    </row>
    <row r="140" spans="2:13" ht="22.5" customHeight="1" thickBot="1">
      <c r="B140" s="1060" t="s">
        <v>107</v>
      </c>
      <c r="C140" s="1061">
        <v>239779</v>
      </c>
      <c r="D140" s="1062">
        <v>19</v>
      </c>
      <c r="E140" s="1063">
        <v>45558.01</v>
      </c>
      <c r="F140" s="1064">
        <v>3.7748684327729126E-2</v>
      </c>
      <c r="G140" s="1065">
        <v>37748.684327729126</v>
      </c>
      <c r="H140" s="1066">
        <v>328053</v>
      </c>
      <c r="I140" s="1067">
        <v>62330.07</v>
      </c>
      <c r="J140" s="1068">
        <v>0.7</v>
      </c>
      <c r="K140" s="1069">
        <v>43631.048999999999</v>
      </c>
      <c r="L140" s="1070">
        <v>5880.6742530879419</v>
      </c>
      <c r="M140" s="1052"/>
    </row>
  </sheetData>
  <mergeCells count="39">
    <mergeCell ref="C117:D117"/>
    <mergeCell ref="G117:H117"/>
    <mergeCell ref="J117:K117"/>
    <mergeCell ref="M117:P117"/>
    <mergeCell ref="F121:F122"/>
    <mergeCell ref="G121:G122"/>
    <mergeCell ref="J121:J122"/>
    <mergeCell ref="K121:K122"/>
    <mergeCell ref="C115:D115"/>
    <mergeCell ref="G115:H115"/>
    <mergeCell ref="J115:K115"/>
    <mergeCell ref="M115:P115"/>
    <mergeCell ref="C116:D116"/>
    <mergeCell ref="G116:H116"/>
    <mergeCell ref="J116:K116"/>
    <mergeCell ref="M116:P116"/>
    <mergeCell ref="C113:D113"/>
    <mergeCell ref="G113:H113"/>
    <mergeCell ref="J113:K113"/>
    <mergeCell ref="M113:P113"/>
    <mergeCell ref="C114:D114"/>
    <mergeCell ref="G114:H114"/>
    <mergeCell ref="J114:K114"/>
    <mergeCell ref="M114:P114"/>
    <mergeCell ref="D90:E90"/>
    <mergeCell ref="H90:Q90"/>
    <mergeCell ref="D91:E91"/>
    <mergeCell ref="H91:I91"/>
    <mergeCell ref="K91:L91"/>
    <mergeCell ref="P91:Q91"/>
    <mergeCell ref="C89:D89"/>
    <mergeCell ref="G89:H89"/>
    <mergeCell ref="J89:K89"/>
    <mergeCell ref="M89:P89"/>
    <mergeCell ref="B4:U4"/>
    <mergeCell ref="C88:D88"/>
    <mergeCell ref="G88:H88"/>
    <mergeCell ref="J88:K88"/>
    <mergeCell ref="M88:P88"/>
  </mergeCells>
  <hyperlinks>
    <hyperlink ref="A12" r:id="rId1" xr:uid="{53E020F7-96FB-447C-95CA-CDE6CB5ECC65}"/>
    <hyperlink ref="C75" r:id="rId2" display="http://vero2.stat.fi/PXWeb/pxweb/sv/Vero/Vero__Henkiloasiakkaiden_tuloverot__lopulliset__alue__Verovuosi 2021/alue_101_2021.px/?rxid=65a034ae-523c-4de8-a3f7-a0bef43e44f9" xr:uid="{08439B05-BDC1-4B0D-8FE6-2F0797B5A0A8}"/>
  </hyperlinks>
  <pageMargins left="0.70866141732283472" right="0.70866141732283472" top="0.74803149606299213" bottom="0.74803149606299213" header="0.31496062992125984" footer="0.31496062992125984"/>
  <pageSetup paperSize="9" scale="84" orientation="portrait" r:id="rId3"/>
  <headerFooter>
    <oddFooter>&amp;L&amp;8&amp;D/&amp;T/&amp;Z&amp;F/&amp;A/RL</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9"/>
  <sheetViews>
    <sheetView zoomScaleNormal="100" workbookViewId="0">
      <pane xSplit="1" ySplit="6" topLeftCell="G7" activePane="bottomRight" state="frozen"/>
      <selection pane="topRight" activeCell="B1" sqref="B1"/>
      <selection pane="bottomLeft" activeCell="A7" sqref="A7"/>
      <selection pane="bottomRight" activeCell="AB17" sqref="AB17"/>
    </sheetView>
  </sheetViews>
  <sheetFormatPr defaultRowHeight="15" outlineLevelCol="1"/>
  <cols>
    <col min="1" max="1" width="12.21875" customWidth="1"/>
    <col min="2" max="2" width="9.44140625" customWidth="1"/>
    <col min="3" max="3" width="9.44140625" hidden="1" customWidth="1" outlineLevel="1"/>
    <col min="4" max="4" width="10.21875" customWidth="1" collapsed="1"/>
    <col min="5" max="5" width="9.44140625" customWidth="1"/>
    <col min="6" max="6" width="9.44140625" hidden="1" customWidth="1" outlineLevel="1"/>
    <col min="7" max="7" width="9.44140625" customWidth="1" collapsed="1"/>
    <col min="8" max="8" width="9.44140625" customWidth="1"/>
    <col min="9" max="9" width="9.44140625" hidden="1" customWidth="1" outlineLevel="1"/>
    <col min="10" max="10" width="9.88671875" bestFit="1" customWidth="1" collapsed="1"/>
    <col min="11" max="11" width="9.44140625" customWidth="1"/>
    <col min="12" max="12" width="9.44140625" hidden="1" customWidth="1" outlineLevel="1"/>
    <col min="13" max="13" width="9.44140625" customWidth="1" collapsed="1"/>
    <col min="14" max="14" width="9.44140625" customWidth="1"/>
    <col min="15" max="15" width="9.44140625" hidden="1" customWidth="1" outlineLevel="1"/>
    <col min="16" max="16" width="9.44140625" customWidth="1" collapsed="1"/>
    <col min="17" max="17" width="9.44140625" customWidth="1"/>
    <col min="18" max="18" width="9.44140625" hidden="1" customWidth="1" outlineLevel="1"/>
    <col min="19" max="19" width="9.44140625" customWidth="1" collapsed="1"/>
    <col min="20" max="20" width="9.44140625" customWidth="1"/>
    <col min="21" max="21" width="9.44140625" customWidth="1" outlineLevel="1"/>
    <col min="22" max="22" width="9.44140625" customWidth="1"/>
    <col min="23" max="23" width="12.109375" customWidth="1"/>
    <col min="24" max="24" width="12.33203125" hidden="1" customWidth="1" outlineLevel="1"/>
    <col min="25" max="25" width="9.44140625" customWidth="1" collapsed="1"/>
    <col min="26" max="26" width="9.44140625" customWidth="1"/>
    <col min="27" max="27" width="9.109375" customWidth="1" outlineLevel="1"/>
    <col min="29" max="29" width="0.5546875" customWidth="1"/>
  </cols>
  <sheetData>
    <row r="1" spans="1:30" ht="15.75" hidden="1">
      <c r="A1" s="11" t="s">
        <v>248</v>
      </c>
    </row>
    <row r="2" spans="1:30" hidden="1"/>
    <row r="3" spans="1:30" ht="15.75" hidden="1">
      <c r="A3" s="82" t="e">
        <f>#REF!</f>
        <v>#REF!</v>
      </c>
    </row>
    <row r="4" spans="1:30" ht="15.75" hidden="1">
      <c r="A4" s="83"/>
    </row>
    <row r="5" spans="1:30" ht="15.75" hidden="1">
      <c r="A5" s="255"/>
      <c r="B5" s="1151" t="s">
        <v>249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274"/>
    </row>
    <row r="6" spans="1:30" ht="60">
      <c r="A6" s="898"/>
      <c r="B6" s="256" t="s">
        <v>250</v>
      </c>
      <c r="C6" s="92" t="s">
        <v>251</v>
      </c>
      <c r="D6" s="257" t="s">
        <v>252</v>
      </c>
      <c r="E6" s="92" t="s">
        <v>253</v>
      </c>
      <c r="F6" s="92" t="s">
        <v>254</v>
      </c>
      <c r="G6" s="257" t="s">
        <v>252</v>
      </c>
      <c r="H6" s="92" t="s">
        <v>255</v>
      </c>
      <c r="I6" s="92" t="s">
        <v>256</v>
      </c>
      <c r="J6" s="257" t="s">
        <v>252</v>
      </c>
      <c r="K6" s="92" t="s">
        <v>257</v>
      </c>
      <c r="L6" s="92" t="s">
        <v>258</v>
      </c>
      <c r="M6" s="257" t="s">
        <v>252</v>
      </c>
      <c r="N6" s="92" t="s">
        <v>259</v>
      </c>
      <c r="O6" s="92" t="s">
        <v>260</v>
      </c>
      <c r="P6" s="257" t="s">
        <v>252</v>
      </c>
      <c r="Q6" s="92" t="s">
        <v>261</v>
      </c>
      <c r="R6" s="92" t="s">
        <v>262</v>
      </c>
      <c r="S6" s="257" t="s">
        <v>252</v>
      </c>
      <c r="T6" s="92" t="s">
        <v>263</v>
      </c>
      <c r="U6" s="92" t="s">
        <v>264</v>
      </c>
      <c r="V6" s="257" t="s">
        <v>252</v>
      </c>
      <c r="W6" s="256" t="s">
        <v>265</v>
      </c>
      <c r="X6" s="92" t="s">
        <v>266</v>
      </c>
      <c r="Y6" s="257" t="s">
        <v>252</v>
      </c>
      <c r="Z6" s="92" t="s">
        <v>267</v>
      </c>
      <c r="AA6" s="92" t="s">
        <v>268</v>
      </c>
      <c r="AB6" s="92" t="s">
        <v>252</v>
      </c>
      <c r="AC6" s="275"/>
      <c r="AD6" s="876"/>
    </row>
    <row r="7" spans="1:30" ht="15.75">
      <c r="A7" s="6" t="s">
        <v>93</v>
      </c>
      <c r="B7" s="330">
        <f>'Lsandelar totalt'!B7</f>
        <v>0</v>
      </c>
      <c r="C7" s="26">
        <v>338925.16</v>
      </c>
      <c r="D7" s="899">
        <f>(B7-C7)/C7</f>
        <v>-1</v>
      </c>
      <c r="E7" s="323">
        <f>'Lsandelar totalt'!C7</f>
        <v>356474.67</v>
      </c>
      <c r="F7" s="900">
        <v>376210.15769999998</v>
      </c>
      <c r="G7" s="899">
        <f>(E7-F7)/F7</f>
        <v>-5.2458678470179966E-2</v>
      </c>
      <c r="H7" s="323">
        <f>'Lsandelar totalt'!E7</f>
        <v>0</v>
      </c>
      <c r="I7" s="26">
        <v>0</v>
      </c>
      <c r="J7" s="899" t="e">
        <f>(H7-I7)/I7</f>
        <v>#DIV/0!</v>
      </c>
      <c r="K7" s="323">
        <f>'Lsandelar totalt'!H7</f>
        <v>255007.29</v>
      </c>
      <c r="L7" s="26" t="e">
        <f>'Lsandelar totalt'!#REF!</f>
        <v>#REF!</v>
      </c>
      <c r="M7" s="899" t="e">
        <f>(K7-L7)/L7</f>
        <v>#REF!</v>
      </c>
      <c r="N7" s="323">
        <f>'Lsandelar totalt'!J7</f>
        <v>7857.16</v>
      </c>
      <c r="O7" s="26">
        <v>6815.26</v>
      </c>
      <c r="P7" s="899">
        <f>(N7-O7)/O7</f>
        <v>0.1528775131102848</v>
      </c>
      <c r="Q7" s="323">
        <f>'Lsandelar totalt'!K7</f>
        <v>0</v>
      </c>
      <c r="R7" s="26">
        <v>0</v>
      </c>
      <c r="S7" s="901"/>
      <c r="T7" s="881">
        <f>B7+E7+H7+K7+N7+Q7</f>
        <v>619339.12</v>
      </c>
      <c r="U7" s="881" t="e">
        <f>C7+F7+I7+L7+O7+R7</f>
        <v>#REF!</v>
      </c>
      <c r="V7" s="902" t="e">
        <f>(T7-U7)/U7</f>
        <v>#REF!</v>
      </c>
      <c r="W7" s="882">
        <f>'Lsandelar totalt'!N7</f>
        <v>0</v>
      </c>
      <c r="X7" s="26">
        <v>-62945.41</v>
      </c>
      <c r="Y7" s="901">
        <f>(W7-X7)/X7</f>
        <v>-1</v>
      </c>
      <c r="Z7" s="884">
        <f>T7+W7</f>
        <v>619339.12</v>
      </c>
      <c r="AA7" s="884" t="e">
        <f>U7+X7</f>
        <v>#REF!</v>
      </c>
      <c r="AB7" s="903" t="e">
        <f>(Z7-AA7)/AA7</f>
        <v>#REF!</v>
      </c>
      <c r="AC7" s="904"/>
      <c r="AD7" s="876"/>
    </row>
    <row r="8" spans="1:30" ht="15.75">
      <c r="A8" s="6" t="s">
        <v>94</v>
      </c>
      <c r="B8" s="330">
        <f>'Lsandelar totalt'!B8</f>
        <v>1234667.81</v>
      </c>
      <c r="C8" s="26">
        <v>1193132.22</v>
      </c>
      <c r="D8" s="899">
        <f t="shared" ref="D8:D24" si="0">(B8-C8)/C8</f>
        <v>3.4812227265139217E-2</v>
      </c>
      <c r="E8" s="323">
        <f>'Lsandelar totalt'!C8</f>
        <v>396383.99</v>
      </c>
      <c r="F8" s="900">
        <v>324443.98999999993</v>
      </c>
      <c r="G8" s="899">
        <f t="shared" ref="G8:G22" si="1">(E8-F8)/F8</f>
        <v>0.22173318729066324</v>
      </c>
      <c r="H8" s="323">
        <f>'Lsandelar totalt'!E8</f>
        <v>117324.69</v>
      </c>
      <c r="I8" s="26">
        <v>77124.72</v>
      </c>
      <c r="J8" s="899">
        <f t="shared" ref="J8:J22" si="2">(H8-I8)/I8</f>
        <v>0.52123326995546959</v>
      </c>
      <c r="K8" s="323">
        <f>'Lsandelar totalt'!H8</f>
        <v>192405.95</v>
      </c>
      <c r="L8" s="26" t="e">
        <f>'Lsandelar totalt'!#REF!</f>
        <v>#REF!</v>
      </c>
      <c r="M8" s="899" t="e">
        <f t="shared" ref="M8:M24" si="3">(K8-L8)/L8</f>
        <v>#REF!</v>
      </c>
      <c r="N8" s="323">
        <f>'Lsandelar totalt'!J8</f>
        <v>16975.78</v>
      </c>
      <c r="O8" s="26">
        <v>14293.94</v>
      </c>
      <c r="P8" s="899">
        <f t="shared" ref="P8:P24" si="4">(N8-O8)/O8</f>
        <v>0.18762076796180746</v>
      </c>
      <c r="Q8" s="323">
        <f>'Lsandelar totalt'!K8</f>
        <v>0</v>
      </c>
      <c r="R8" s="26">
        <v>0</v>
      </c>
      <c r="S8" s="905"/>
      <c r="T8" s="881">
        <f>B8+E8+H8+K8+N8+Q8</f>
        <v>1957758.22</v>
      </c>
      <c r="U8" s="881" t="e">
        <f t="shared" ref="U8:U22" si="5">C8+F8+I8+L8+O8+R8</f>
        <v>#REF!</v>
      </c>
      <c r="V8" s="902" t="e">
        <f t="shared" ref="V8:V23" si="6">(T8-U8)/U8</f>
        <v>#REF!</v>
      </c>
      <c r="W8" s="882">
        <f>'Lsandelar totalt'!N8</f>
        <v>0</v>
      </c>
      <c r="X8" s="26">
        <v>-148019.88</v>
      </c>
      <c r="Y8" s="901">
        <f t="shared" ref="Y8:Y22" si="7">(W8-X8)/X8</f>
        <v>-1</v>
      </c>
      <c r="Z8" s="884">
        <f t="shared" ref="Z8:Z22" si="8">T8+W8</f>
        <v>1957758.22</v>
      </c>
      <c r="AA8" s="884" t="e">
        <f t="shared" ref="AA8:AA22" si="9">U8+X8</f>
        <v>#REF!</v>
      </c>
      <c r="AB8" s="903" t="e">
        <f t="shared" ref="AB8:AB24" si="10">(Z8-AA8)/AA8</f>
        <v>#REF!</v>
      </c>
      <c r="AC8" s="904"/>
      <c r="AD8" s="876"/>
    </row>
    <row r="9" spans="1:30" ht="15.75">
      <c r="A9" s="6" t="s">
        <v>95</v>
      </c>
      <c r="B9" s="330">
        <f>'Lsandelar totalt'!B9</f>
        <v>2815081.78</v>
      </c>
      <c r="C9" s="26">
        <v>2361646.0699999998</v>
      </c>
      <c r="D9" s="899">
        <f t="shared" si="0"/>
        <v>0.19199985796347543</v>
      </c>
      <c r="E9" s="323">
        <f>'Lsandelar totalt'!C9</f>
        <v>499702.93</v>
      </c>
      <c r="F9" s="900">
        <v>411638.30599999998</v>
      </c>
      <c r="G9" s="899">
        <f t="shared" si="1"/>
        <v>0.21393690216964409</v>
      </c>
      <c r="H9" s="323">
        <f>'Lsandelar totalt'!E9</f>
        <v>195541.15</v>
      </c>
      <c r="I9" s="26">
        <v>38562.36</v>
      </c>
      <c r="J9" s="899">
        <f t="shared" si="2"/>
        <v>4.0707775665182311</v>
      </c>
      <c r="K9" s="323">
        <f>'Lsandelar totalt'!H9</f>
        <v>426035.72</v>
      </c>
      <c r="L9" s="26" t="e">
        <f>'Lsandelar totalt'!#REF!</f>
        <v>#REF!</v>
      </c>
      <c r="M9" s="899" t="e">
        <f t="shared" si="3"/>
        <v>#REF!</v>
      </c>
      <c r="N9" s="323">
        <f>'Lsandelar totalt'!J9</f>
        <v>47034.81</v>
      </c>
      <c r="O9" s="26">
        <v>38901.24</v>
      </c>
      <c r="P9" s="899">
        <f t="shared" si="4"/>
        <v>0.20908253824299688</v>
      </c>
      <c r="Q9" s="323">
        <f>'Lsandelar totalt'!K9</f>
        <v>0</v>
      </c>
      <c r="R9" s="26">
        <v>0</v>
      </c>
      <c r="S9" s="905"/>
      <c r="T9" s="881">
        <f t="shared" ref="T9:T22" si="11">B9+E9+H9+K9+N9+Q9</f>
        <v>3983396.39</v>
      </c>
      <c r="U9" s="881" t="e">
        <f t="shared" si="5"/>
        <v>#REF!</v>
      </c>
      <c r="V9" s="902" t="e">
        <f t="shared" si="6"/>
        <v>#REF!</v>
      </c>
      <c r="W9" s="882">
        <f>'Lsandelar totalt'!N9</f>
        <v>0</v>
      </c>
      <c r="X9" s="26">
        <v>-367323.1</v>
      </c>
      <c r="Y9" s="901">
        <f t="shared" si="7"/>
        <v>-1</v>
      </c>
      <c r="Z9" s="884">
        <f t="shared" si="8"/>
        <v>3983396.39</v>
      </c>
      <c r="AA9" s="884" t="e">
        <f t="shared" si="9"/>
        <v>#REF!</v>
      </c>
      <c r="AB9" s="903" t="e">
        <f t="shared" si="10"/>
        <v>#REF!</v>
      </c>
      <c r="AC9" s="904"/>
      <c r="AD9" s="876"/>
    </row>
    <row r="10" spans="1:30" ht="15.75">
      <c r="A10" s="6" t="s">
        <v>96</v>
      </c>
      <c r="B10" s="330">
        <f>'Lsandelar totalt'!B10</f>
        <v>539897.48</v>
      </c>
      <c r="C10" s="26">
        <v>473996.17</v>
      </c>
      <c r="D10" s="899">
        <f t="shared" si="0"/>
        <v>0.13903342299158239</v>
      </c>
      <c r="E10" s="323">
        <f>'Lsandelar totalt'!C10</f>
        <v>529067.59</v>
      </c>
      <c r="F10" s="900">
        <v>360086.45200000005</v>
      </c>
      <c r="G10" s="899">
        <f t="shared" si="1"/>
        <v>0.46927935516996316</v>
      </c>
      <c r="H10" s="323">
        <f>'Lsandelar totalt'!E10</f>
        <v>39108.230000000003</v>
      </c>
      <c r="I10" s="26">
        <v>38562.36</v>
      </c>
      <c r="J10" s="899">
        <f t="shared" si="2"/>
        <v>1.4155513303646422E-2</v>
      </c>
      <c r="K10" s="323">
        <f>'Lsandelar totalt'!H10</f>
        <v>280173.53000000003</v>
      </c>
      <c r="L10" s="26" t="e">
        <f>'Lsandelar totalt'!#REF!</f>
        <v>#REF!</v>
      </c>
      <c r="M10" s="899" t="e">
        <f t="shared" si="3"/>
        <v>#REF!</v>
      </c>
      <c r="N10" s="323">
        <f>'Lsandelar totalt'!J10</f>
        <v>9172.69</v>
      </c>
      <c r="O10" s="26">
        <v>8021.5</v>
      </c>
      <c r="P10" s="899">
        <f t="shared" si="4"/>
        <v>0.14351305865486511</v>
      </c>
      <c r="Q10" s="323">
        <f>'Lsandelar totalt'!K10</f>
        <v>0</v>
      </c>
      <c r="R10" s="26">
        <v>0</v>
      </c>
      <c r="S10" s="905"/>
      <c r="T10" s="881">
        <f t="shared" si="11"/>
        <v>1397419.5199999998</v>
      </c>
      <c r="U10" s="881" t="e">
        <f t="shared" si="5"/>
        <v>#REF!</v>
      </c>
      <c r="V10" s="902" t="e">
        <f t="shared" si="6"/>
        <v>#REF!</v>
      </c>
      <c r="W10" s="882">
        <f>'Lsandelar totalt'!N10</f>
        <v>0</v>
      </c>
      <c r="X10" s="26">
        <v>100207.3</v>
      </c>
      <c r="Y10" s="901">
        <f t="shared" si="7"/>
        <v>-1</v>
      </c>
      <c r="Z10" s="884">
        <f t="shared" si="8"/>
        <v>1397419.5199999998</v>
      </c>
      <c r="AA10" s="884" t="e">
        <f t="shared" si="9"/>
        <v>#REF!</v>
      </c>
      <c r="AB10" s="903" t="e">
        <f t="shared" si="10"/>
        <v>#REF!</v>
      </c>
      <c r="AC10" s="904"/>
      <c r="AD10" s="876"/>
    </row>
    <row r="11" spans="1:30" ht="15.75">
      <c r="A11" s="6" t="s">
        <v>97</v>
      </c>
      <c r="B11" s="330">
        <f>'Lsandelar totalt'!B11</f>
        <v>1070923.78</v>
      </c>
      <c r="C11" s="26">
        <v>856941.64</v>
      </c>
      <c r="D11" s="899">
        <f t="shared" si="0"/>
        <v>0.2497044489517396</v>
      </c>
      <c r="E11" s="323">
        <f>'Lsandelar totalt'!C11</f>
        <v>316431.53000000003</v>
      </c>
      <c r="F11" s="900">
        <v>263726.59999999998</v>
      </c>
      <c r="G11" s="899">
        <f t="shared" si="1"/>
        <v>0.19984684897162461</v>
      </c>
      <c r="H11" s="323">
        <f>'Lsandelar totalt'!E11</f>
        <v>78216.460000000006</v>
      </c>
      <c r="I11" s="26">
        <v>38562.36</v>
      </c>
      <c r="J11" s="899">
        <f t="shared" si="2"/>
        <v>1.0283110266072928</v>
      </c>
      <c r="K11" s="323">
        <f>'Lsandelar totalt'!H11</f>
        <v>107053.55</v>
      </c>
      <c r="L11" s="26" t="e">
        <f>'Lsandelar totalt'!#REF!</f>
        <v>#REF!</v>
      </c>
      <c r="M11" s="899" t="e">
        <f t="shared" si="3"/>
        <v>#REF!</v>
      </c>
      <c r="N11" s="323">
        <f>'Lsandelar totalt'!J11</f>
        <v>9172.69</v>
      </c>
      <c r="O11" s="26">
        <v>7463.61</v>
      </c>
      <c r="P11" s="899">
        <f t="shared" si="4"/>
        <v>0.22898838497724303</v>
      </c>
      <c r="Q11" s="323">
        <f>'Lsandelar totalt'!K11</f>
        <v>0</v>
      </c>
      <c r="R11" s="26">
        <v>0</v>
      </c>
      <c r="S11" s="905"/>
      <c r="T11" s="881">
        <f t="shared" si="11"/>
        <v>1581798.01</v>
      </c>
      <c r="U11" s="881" t="e">
        <f t="shared" si="5"/>
        <v>#REF!</v>
      </c>
      <c r="V11" s="902" t="e">
        <f t="shared" si="6"/>
        <v>#REF!</v>
      </c>
      <c r="W11" s="882">
        <f>'Lsandelar totalt'!N11</f>
        <v>0</v>
      </c>
      <c r="X11" s="26">
        <v>90561.66</v>
      </c>
      <c r="Y11" s="901">
        <f t="shared" si="7"/>
        <v>-1</v>
      </c>
      <c r="Z11" s="884">
        <f t="shared" si="8"/>
        <v>1581798.01</v>
      </c>
      <c r="AA11" s="884" t="e">
        <f t="shared" si="9"/>
        <v>#REF!</v>
      </c>
      <c r="AB11" s="903" t="e">
        <f t="shared" si="10"/>
        <v>#REF!</v>
      </c>
      <c r="AC11" s="904"/>
      <c r="AD11" s="876"/>
    </row>
    <row r="12" spans="1:30" ht="15.75">
      <c r="A12" s="6" t="s">
        <v>98</v>
      </c>
      <c r="B12" s="330">
        <f>'Lsandelar totalt'!B12</f>
        <v>2358487.65</v>
      </c>
      <c r="C12" s="26">
        <v>1800773.73</v>
      </c>
      <c r="D12" s="899">
        <f t="shared" si="0"/>
        <v>0.30970793870921248</v>
      </c>
      <c r="E12" s="323">
        <f>'Lsandelar totalt'!C12</f>
        <v>453251.58</v>
      </c>
      <c r="F12" s="900">
        <v>376586.78399999993</v>
      </c>
      <c r="G12" s="899">
        <f t="shared" si="1"/>
        <v>0.20357803103361191</v>
      </c>
      <c r="H12" s="323">
        <f>'Lsandelar totalt'!E12</f>
        <v>78216.460000000006</v>
      </c>
      <c r="I12" s="26">
        <v>93192.37</v>
      </c>
      <c r="J12" s="899">
        <f t="shared" si="2"/>
        <v>-0.1606988855418098</v>
      </c>
      <c r="K12" s="323">
        <f>'Lsandelar totalt'!H12</f>
        <v>288459.45</v>
      </c>
      <c r="L12" s="26" t="e">
        <f>'Lsandelar totalt'!#REF!</f>
        <v>#REF!</v>
      </c>
      <c r="M12" s="899" t="e">
        <f t="shared" si="3"/>
        <v>#REF!</v>
      </c>
      <c r="N12" s="323">
        <f>'Lsandelar totalt'!J12</f>
        <v>29662.57</v>
      </c>
      <c r="O12" s="26">
        <v>23325.67</v>
      </c>
      <c r="P12" s="899">
        <f t="shared" si="4"/>
        <v>0.27167065297588461</v>
      </c>
      <c r="Q12" s="323">
        <f>'Lsandelar totalt'!K12</f>
        <v>0</v>
      </c>
      <c r="R12" s="26">
        <v>0</v>
      </c>
      <c r="S12" s="905"/>
      <c r="T12" s="881">
        <f t="shared" si="11"/>
        <v>3208077.71</v>
      </c>
      <c r="U12" s="881" t="e">
        <f t="shared" si="5"/>
        <v>#REF!</v>
      </c>
      <c r="V12" s="902" t="e">
        <f t="shared" si="6"/>
        <v>#REF!</v>
      </c>
      <c r="W12" s="882">
        <f>'Lsandelar totalt'!N12</f>
        <v>0</v>
      </c>
      <c r="X12" s="26">
        <v>-150369.49</v>
      </c>
      <c r="Y12" s="901">
        <f t="shared" si="7"/>
        <v>-1</v>
      </c>
      <c r="Z12" s="884">
        <f t="shared" si="8"/>
        <v>3208077.71</v>
      </c>
      <c r="AA12" s="884" t="e">
        <f t="shared" si="9"/>
        <v>#REF!</v>
      </c>
      <c r="AB12" s="903" t="e">
        <f t="shared" si="10"/>
        <v>#REF!</v>
      </c>
      <c r="AC12" s="904"/>
      <c r="AD12" s="876"/>
    </row>
    <row r="13" spans="1:30" ht="15.75">
      <c r="A13" s="6" t="s">
        <v>99</v>
      </c>
      <c r="B13" s="330">
        <f>'Lsandelar totalt'!B13</f>
        <v>3074878.35</v>
      </c>
      <c r="C13" s="26">
        <v>1851829.1</v>
      </c>
      <c r="D13" s="899">
        <f t="shared" si="0"/>
        <v>0.66045470934655903</v>
      </c>
      <c r="E13" s="323">
        <f>'Lsandelar totalt'!C13</f>
        <v>661226.96</v>
      </c>
      <c r="F13" s="900">
        <v>522876.19399999996</v>
      </c>
      <c r="G13" s="899">
        <f t="shared" si="1"/>
        <v>0.26459564919492207</v>
      </c>
      <c r="H13" s="323">
        <f>'Lsandelar totalt'!E13</f>
        <v>469298.76</v>
      </c>
      <c r="I13" s="26">
        <v>147822.38</v>
      </c>
      <c r="J13" s="899">
        <f t="shared" si="2"/>
        <v>2.1747476938201102</v>
      </c>
      <c r="K13" s="323">
        <f>'Lsandelar totalt'!H13</f>
        <v>571166.68999999994</v>
      </c>
      <c r="L13" s="26" t="e">
        <f>'Lsandelar totalt'!#REF!</f>
        <v>#REF!</v>
      </c>
      <c r="M13" s="899" t="e">
        <f t="shared" si="3"/>
        <v>#REF!</v>
      </c>
      <c r="N13" s="323">
        <f>'Lsandelar totalt'!J13</f>
        <v>102665.64</v>
      </c>
      <c r="O13" s="26">
        <v>73264</v>
      </c>
      <c r="P13" s="899">
        <f t="shared" si="4"/>
        <v>0.40131087573706048</v>
      </c>
      <c r="Q13" s="323">
        <f>'Lsandelar totalt'!K13</f>
        <v>0</v>
      </c>
      <c r="R13" s="26">
        <v>0</v>
      </c>
      <c r="S13" s="905"/>
      <c r="T13" s="881">
        <f t="shared" si="11"/>
        <v>4879236.3999999994</v>
      </c>
      <c r="U13" s="881" t="e">
        <f t="shared" si="5"/>
        <v>#REF!</v>
      </c>
      <c r="V13" s="902" t="e">
        <f t="shared" si="6"/>
        <v>#REF!</v>
      </c>
      <c r="W13" s="882">
        <f>'Lsandelar totalt'!N13</f>
        <v>0</v>
      </c>
      <c r="X13" s="26">
        <v>221390.47</v>
      </c>
      <c r="Y13" s="901">
        <f t="shared" si="7"/>
        <v>-1</v>
      </c>
      <c r="Z13" s="884">
        <f t="shared" si="8"/>
        <v>4879236.3999999994</v>
      </c>
      <c r="AA13" s="884" t="e">
        <f t="shared" si="9"/>
        <v>#REF!</v>
      </c>
      <c r="AB13" s="903" t="e">
        <f t="shared" si="10"/>
        <v>#REF!</v>
      </c>
      <c r="AC13" s="904"/>
      <c r="AD13" s="876"/>
    </row>
    <row r="14" spans="1:30" ht="15.75">
      <c r="A14" s="6" t="s">
        <v>100</v>
      </c>
      <c r="B14" s="330">
        <f>'Lsandelar totalt'!B14</f>
        <v>287263.88</v>
      </c>
      <c r="C14" s="26">
        <v>325362.39</v>
      </c>
      <c r="D14" s="899">
        <f t="shared" si="0"/>
        <v>-0.11709561759735047</v>
      </c>
      <c r="E14" s="323">
        <f>'Lsandelar totalt'!C14</f>
        <v>221260.14</v>
      </c>
      <c r="F14" s="900">
        <v>244028.21040000001</v>
      </c>
      <c r="G14" s="899">
        <f t="shared" si="1"/>
        <v>-9.3300976811982531E-2</v>
      </c>
      <c r="H14" s="323">
        <f>'Lsandelar totalt'!E14</f>
        <v>0</v>
      </c>
      <c r="I14" s="26">
        <v>0</v>
      </c>
      <c r="J14" s="899" t="e">
        <f t="shared" si="2"/>
        <v>#DIV/0!</v>
      </c>
      <c r="K14" s="323">
        <f>'Lsandelar totalt'!H14</f>
        <v>288143.12</v>
      </c>
      <c r="L14" s="26" t="e">
        <f>'Lsandelar totalt'!#REF!</f>
        <v>#REF!</v>
      </c>
      <c r="M14" s="899" t="e">
        <f t="shared" si="3"/>
        <v>#REF!</v>
      </c>
      <c r="N14" s="323">
        <f>'Lsandelar totalt'!J14</f>
        <v>5226.09</v>
      </c>
      <c r="O14" s="26">
        <v>4734.49</v>
      </c>
      <c r="P14" s="899">
        <f t="shared" si="4"/>
        <v>0.10383378146326223</v>
      </c>
      <c r="Q14" s="323">
        <f>'Lsandelar totalt'!K14</f>
        <v>0</v>
      </c>
      <c r="R14" s="26">
        <v>0</v>
      </c>
      <c r="S14" s="905"/>
      <c r="T14" s="881">
        <f t="shared" si="11"/>
        <v>801893.23</v>
      </c>
      <c r="U14" s="881" t="e">
        <f t="shared" si="5"/>
        <v>#REF!</v>
      </c>
      <c r="V14" s="902" t="e">
        <f t="shared" si="6"/>
        <v>#REF!</v>
      </c>
      <c r="W14" s="882">
        <f>'Lsandelar totalt'!N14</f>
        <v>0</v>
      </c>
      <c r="X14" s="26">
        <v>-20643.91</v>
      </c>
      <c r="Y14" s="901">
        <f t="shared" si="7"/>
        <v>-1</v>
      </c>
      <c r="Z14" s="884">
        <f t="shared" si="8"/>
        <v>801893.23</v>
      </c>
      <c r="AA14" s="884" t="e">
        <f t="shared" si="9"/>
        <v>#REF!</v>
      </c>
      <c r="AB14" s="903" t="e">
        <f t="shared" si="10"/>
        <v>#REF!</v>
      </c>
      <c r="AC14" s="904"/>
      <c r="AD14" s="876"/>
    </row>
    <row r="15" spans="1:30" ht="15.75">
      <c r="A15" s="6" t="s">
        <v>101</v>
      </c>
      <c r="B15" s="330">
        <f>'Lsandelar totalt'!B15</f>
        <v>360209.84</v>
      </c>
      <c r="C15" s="26">
        <v>304191</v>
      </c>
      <c r="D15" s="899">
        <f t="shared" si="0"/>
        <v>0.18415679622342548</v>
      </c>
      <c r="E15" s="323">
        <f>'Lsandelar totalt'!C15</f>
        <v>24584.46</v>
      </c>
      <c r="F15" s="900">
        <v>183021.15780000002</v>
      </c>
      <c r="G15" s="899">
        <f t="shared" si="1"/>
        <v>-0.86567421878696038</v>
      </c>
      <c r="H15" s="323">
        <f>'Lsandelar totalt'!E15</f>
        <v>0</v>
      </c>
      <c r="I15" s="26">
        <v>0</v>
      </c>
      <c r="J15" s="899" t="e">
        <f t="shared" si="2"/>
        <v>#DIV/0!</v>
      </c>
      <c r="K15" s="323">
        <f>'Lsandelar totalt'!H15</f>
        <v>184349.14</v>
      </c>
      <c r="L15" s="26" t="e">
        <f>'Lsandelar totalt'!#REF!</f>
        <v>#REF!</v>
      </c>
      <c r="M15" s="899" t="e">
        <f t="shared" si="3"/>
        <v>#REF!</v>
      </c>
      <c r="N15" s="323">
        <f>'Lsandelar totalt'!J15</f>
        <v>4054.73</v>
      </c>
      <c r="O15" s="26">
        <v>3558.41</v>
      </c>
      <c r="P15" s="899">
        <f t="shared" si="4"/>
        <v>0.13947802529781564</v>
      </c>
      <c r="Q15" s="323">
        <f>'Lsandelar totalt'!K15</f>
        <v>0</v>
      </c>
      <c r="R15" s="26">
        <v>0</v>
      </c>
      <c r="S15" s="905"/>
      <c r="T15" s="881">
        <f t="shared" si="11"/>
        <v>573198.17000000004</v>
      </c>
      <c r="U15" s="881" t="e">
        <f t="shared" si="5"/>
        <v>#REF!</v>
      </c>
      <c r="V15" s="902" t="e">
        <f t="shared" si="6"/>
        <v>#REF!</v>
      </c>
      <c r="W15" s="882">
        <f>'Lsandelar totalt'!N15</f>
        <v>0</v>
      </c>
      <c r="X15" s="26">
        <v>-55081.54</v>
      </c>
      <c r="Y15" s="901">
        <f t="shared" si="7"/>
        <v>-1</v>
      </c>
      <c r="Z15" s="884">
        <f t="shared" si="8"/>
        <v>573198.17000000004</v>
      </c>
      <c r="AA15" s="884" t="e">
        <f t="shared" si="9"/>
        <v>#REF!</v>
      </c>
      <c r="AB15" s="903" t="e">
        <f t="shared" si="10"/>
        <v>#REF!</v>
      </c>
      <c r="AC15" s="904"/>
      <c r="AD15" s="876"/>
    </row>
    <row r="16" spans="1:30" ht="15.75">
      <c r="A16" s="6" t="s">
        <v>102</v>
      </c>
      <c r="B16" s="330">
        <f>'Lsandelar totalt'!B16</f>
        <v>1953960.17</v>
      </c>
      <c r="C16" s="26">
        <v>1463808.04</v>
      </c>
      <c r="D16" s="899">
        <f t="shared" si="0"/>
        <v>0.33484727273393022</v>
      </c>
      <c r="E16" s="323">
        <f>'Lsandelar totalt'!C16</f>
        <v>499702.93</v>
      </c>
      <c r="F16" s="900">
        <v>388174.06399999995</v>
      </c>
      <c r="G16" s="899">
        <f t="shared" si="1"/>
        <v>0.28731663535356666</v>
      </c>
      <c r="H16" s="323">
        <f>'Lsandelar totalt'!E16</f>
        <v>39108.230000000003</v>
      </c>
      <c r="I16" s="26">
        <v>38562.36</v>
      </c>
      <c r="J16" s="899">
        <f t="shared" si="2"/>
        <v>1.4155513303646422E-2</v>
      </c>
      <c r="K16" s="323">
        <f>'Lsandelar totalt'!H16</f>
        <v>252451.27</v>
      </c>
      <c r="L16" s="26" t="e">
        <f>'Lsandelar totalt'!#REF!</f>
        <v>#REF!</v>
      </c>
      <c r="M16" s="899" t="e">
        <f t="shared" si="3"/>
        <v>#REF!</v>
      </c>
      <c r="N16" s="323">
        <f>'Lsandelar totalt'!J16</f>
        <v>38330.67</v>
      </c>
      <c r="O16" s="26">
        <v>30578.18</v>
      </c>
      <c r="P16" s="899">
        <f t="shared" si="4"/>
        <v>0.25353013161672794</v>
      </c>
      <c r="Q16" s="323">
        <f>'Lsandelar totalt'!K16</f>
        <v>0</v>
      </c>
      <c r="R16" s="26">
        <v>0</v>
      </c>
      <c r="S16" s="905"/>
      <c r="T16" s="881">
        <f t="shared" si="11"/>
        <v>2783553.27</v>
      </c>
      <c r="U16" s="881" t="e">
        <f t="shared" si="5"/>
        <v>#REF!</v>
      </c>
      <c r="V16" s="902" t="e">
        <f t="shared" si="6"/>
        <v>#REF!</v>
      </c>
      <c r="W16" s="882">
        <f>'Lsandelar totalt'!N16</f>
        <v>0</v>
      </c>
      <c r="X16" s="26">
        <v>323148.65000000002</v>
      </c>
      <c r="Y16" s="901">
        <f t="shared" si="7"/>
        <v>-1</v>
      </c>
      <c r="Z16" s="884">
        <f t="shared" si="8"/>
        <v>2783553.27</v>
      </c>
      <c r="AA16" s="884" t="e">
        <f t="shared" si="9"/>
        <v>#REF!</v>
      </c>
      <c r="AB16" s="903" t="e">
        <f t="shared" si="10"/>
        <v>#REF!</v>
      </c>
      <c r="AC16" s="904"/>
      <c r="AD16" s="876"/>
    </row>
    <row r="17" spans="1:30" ht="15.75">
      <c r="A17" s="6" t="s">
        <v>103</v>
      </c>
      <c r="B17" s="330">
        <f>'Lsandelar totalt'!B17</f>
        <v>319736.71999999997</v>
      </c>
      <c r="C17" s="26">
        <v>327671.96000000002</v>
      </c>
      <c r="D17" s="899">
        <f t="shared" si="0"/>
        <v>-2.4217024856200843E-2</v>
      </c>
      <c r="E17" s="323">
        <f>'Lsandelar totalt'!C17</f>
        <v>221699.15</v>
      </c>
      <c r="F17" s="900">
        <v>221548.88</v>
      </c>
      <c r="G17" s="899">
        <f t="shared" si="1"/>
        <v>6.7827018579371518E-4</v>
      </c>
      <c r="H17" s="323">
        <f>'Lsandelar totalt'!E17</f>
        <v>0</v>
      </c>
      <c r="I17" s="26">
        <v>0</v>
      </c>
      <c r="J17" s="899" t="e">
        <f t="shared" si="2"/>
        <v>#DIV/0!</v>
      </c>
      <c r="K17" s="323">
        <f>'Lsandelar totalt'!H17</f>
        <v>85489.47</v>
      </c>
      <c r="L17" s="26" t="e">
        <f>'Lsandelar totalt'!#REF!</f>
        <v>#REF!</v>
      </c>
      <c r="M17" s="899" t="e">
        <f t="shared" si="3"/>
        <v>#REF!</v>
      </c>
      <c r="N17" s="323">
        <f>'Lsandelar totalt'!J17</f>
        <v>6595.69</v>
      </c>
      <c r="O17" s="26">
        <v>5955.81</v>
      </c>
      <c r="P17" s="899">
        <f t="shared" si="4"/>
        <v>0.10743794714740718</v>
      </c>
      <c r="Q17" s="323">
        <f>'Lsandelar totalt'!K17</f>
        <v>0</v>
      </c>
      <c r="R17" s="26">
        <v>0</v>
      </c>
      <c r="S17" s="905"/>
      <c r="T17" s="881">
        <f t="shared" si="11"/>
        <v>633521.02999999991</v>
      </c>
      <c r="U17" s="881" t="e">
        <f t="shared" si="5"/>
        <v>#REF!</v>
      </c>
      <c r="V17" s="902" t="e">
        <f t="shared" si="6"/>
        <v>#REF!</v>
      </c>
      <c r="W17" s="882">
        <f>'Lsandelar totalt'!N17</f>
        <v>0</v>
      </c>
      <c r="X17" s="26">
        <v>75458.12</v>
      </c>
      <c r="Y17" s="901">
        <f t="shared" si="7"/>
        <v>-1</v>
      </c>
      <c r="Z17" s="884">
        <f t="shared" si="8"/>
        <v>633521.02999999991</v>
      </c>
      <c r="AA17" s="884" t="e">
        <f t="shared" si="9"/>
        <v>#REF!</v>
      </c>
      <c r="AB17" s="903" t="e">
        <f t="shared" si="10"/>
        <v>#REF!</v>
      </c>
      <c r="AC17" s="904"/>
      <c r="AD17" s="876"/>
    </row>
    <row r="18" spans="1:30" ht="15.75">
      <c r="A18" s="6" t="s">
        <v>104</v>
      </c>
      <c r="B18" s="330">
        <f>'Lsandelar totalt'!B18</f>
        <v>1293625.1399999999</v>
      </c>
      <c r="C18" s="26">
        <v>1313668.8400000001</v>
      </c>
      <c r="D18" s="899">
        <f t="shared" si="0"/>
        <v>-1.5257802719900234E-2</v>
      </c>
      <c r="E18" s="323">
        <f>'Lsandelar totalt'!C18</f>
        <v>464160.61</v>
      </c>
      <c r="F18" s="900">
        <v>379483.60399999993</v>
      </c>
      <c r="G18" s="899">
        <f t="shared" si="1"/>
        <v>0.22313745602563653</v>
      </c>
      <c r="H18" s="323">
        <f>'Lsandelar totalt'!E18</f>
        <v>156432.92000000001</v>
      </c>
      <c r="I18" s="26">
        <v>99619.430000000008</v>
      </c>
      <c r="J18" s="899">
        <f t="shared" si="2"/>
        <v>0.57030531092177505</v>
      </c>
      <c r="K18" s="323">
        <f>'Lsandelar totalt'!H18</f>
        <v>380215.39</v>
      </c>
      <c r="L18" s="26" t="e">
        <f>'Lsandelar totalt'!#REF!</f>
        <v>#REF!</v>
      </c>
      <c r="M18" s="899" t="e">
        <f t="shared" si="3"/>
        <v>#REF!</v>
      </c>
      <c r="N18" s="323">
        <f>'Lsandelar totalt'!J18</f>
        <v>32275.61</v>
      </c>
      <c r="O18" s="26">
        <v>28241.09</v>
      </c>
      <c r="P18" s="899">
        <f t="shared" si="4"/>
        <v>0.14285992502414038</v>
      </c>
      <c r="Q18" s="323">
        <f>'Lsandelar totalt'!K18</f>
        <v>0</v>
      </c>
      <c r="R18" s="26">
        <v>0</v>
      </c>
      <c r="S18" s="905"/>
      <c r="T18" s="881">
        <f t="shared" si="11"/>
        <v>2326709.67</v>
      </c>
      <c r="U18" s="881" t="e">
        <f t="shared" si="5"/>
        <v>#REF!</v>
      </c>
      <c r="V18" s="902" t="e">
        <f t="shared" si="6"/>
        <v>#REF!</v>
      </c>
      <c r="W18" s="882">
        <f>'Lsandelar totalt'!N18</f>
        <v>0</v>
      </c>
      <c r="X18" s="26">
        <v>281183.61</v>
      </c>
      <c r="Y18" s="901">
        <f t="shared" si="7"/>
        <v>-1</v>
      </c>
      <c r="Z18" s="884">
        <f t="shared" si="8"/>
        <v>2326709.67</v>
      </c>
      <c r="AA18" s="884" t="e">
        <f t="shared" si="9"/>
        <v>#REF!</v>
      </c>
      <c r="AB18" s="903" t="e">
        <f t="shared" si="10"/>
        <v>#REF!</v>
      </c>
      <c r="AC18" s="904"/>
      <c r="AD18" s="876"/>
    </row>
    <row r="19" spans="1:30" ht="15.75">
      <c r="A19" s="6" t="s">
        <v>105</v>
      </c>
      <c r="B19" s="330">
        <f>'Lsandelar totalt'!B19</f>
        <v>106097.7</v>
      </c>
      <c r="C19" s="26">
        <v>39357.06</v>
      </c>
      <c r="D19" s="899">
        <f t="shared" si="0"/>
        <v>1.6957730074350066</v>
      </c>
      <c r="E19" s="323">
        <f>'Lsandelar totalt'!C19</f>
        <v>196675.68</v>
      </c>
      <c r="F19" s="900">
        <v>10167.8421</v>
      </c>
      <c r="G19" s="899">
        <f t="shared" si="1"/>
        <v>18.342912494677705</v>
      </c>
      <c r="H19" s="323">
        <f>'Lsandelar totalt'!E19</f>
        <v>0</v>
      </c>
      <c r="I19" s="26">
        <v>0</v>
      </c>
      <c r="J19" s="899" t="e">
        <f t="shared" si="2"/>
        <v>#DIV/0!</v>
      </c>
      <c r="K19" s="323">
        <f>'Lsandelar totalt'!H19</f>
        <v>61042.12</v>
      </c>
      <c r="L19" s="26" t="e">
        <f>'Lsandelar totalt'!#REF!</f>
        <v>#REF!</v>
      </c>
      <c r="M19" s="899" t="e">
        <f t="shared" si="3"/>
        <v>#REF!</v>
      </c>
      <c r="N19" s="323">
        <f>'Lsandelar totalt'!J19</f>
        <v>2072.42</v>
      </c>
      <c r="O19" s="26">
        <v>1387.18</v>
      </c>
      <c r="P19" s="899">
        <f t="shared" si="4"/>
        <v>0.49398059372251618</v>
      </c>
      <c r="Q19" s="323">
        <f>'Lsandelar totalt'!K19</f>
        <v>0</v>
      </c>
      <c r="R19" s="26">
        <v>0</v>
      </c>
      <c r="S19" s="905"/>
      <c r="T19" s="881">
        <f t="shared" si="11"/>
        <v>365887.92</v>
      </c>
      <c r="U19" s="881" t="e">
        <f t="shared" si="5"/>
        <v>#REF!</v>
      </c>
      <c r="V19" s="902" t="e">
        <f t="shared" si="6"/>
        <v>#REF!</v>
      </c>
      <c r="W19" s="882">
        <f>'Lsandelar totalt'!N19</f>
        <v>0</v>
      </c>
      <c r="X19" s="26">
        <v>47018.91</v>
      </c>
      <c r="Y19" s="901">
        <f t="shared" si="7"/>
        <v>-1</v>
      </c>
      <c r="Z19" s="884">
        <f t="shared" si="8"/>
        <v>365887.92</v>
      </c>
      <c r="AA19" s="884" t="e">
        <f t="shared" si="9"/>
        <v>#REF!</v>
      </c>
      <c r="AB19" s="903" t="e">
        <f t="shared" si="10"/>
        <v>#REF!</v>
      </c>
      <c r="AC19" s="904"/>
      <c r="AD19" s="876"/>
    </row>
    <row r="20" spans="1:30" ht="15.75">
      <c r="A20" s="6" t="s">
        <v>106</v>
      </c>
      <c r="B20" s="330">
        <f>'Lsandelar totalt'!B20</f>
        <v>1237821.47</v>
      </c>
      <c r="C20" s="26">
        <v>1127852.55</v>
      </c>
      <c r="D20" s="899">
        <f t="shared" si="0"/>
        <v>9.7502922700312133E-2</v>
      </c>
      <c r="E20" s="323">
        <f>'Lsandelar totalt'!C20</f>
        <v>411586.22</v>
      </c>
      <c r="F20" s="900">
        <v>343447.13199999998</v>
      </c>
      <c r="G20" s="899">
        <f t="shared" si="1"/>
        <v>0.19839760373948906</v>
      </c>
      <c r="H20" s="323">
        <f>'Lsandelar totalt'!E20</f>
        <v>156432.92000000001</v>
      </c>
      <c r="I20" s="26">
        <v>115687.08</v>
      </c>
      <c r="J20" s="899">
        <f t="shared" si="2"/>
        <v>0.35220735107152856</v>
      </c>
      <c r="K20" s="323">
        <f>'Lsandelar totalt'!H20</f>
        <v>188357.5</v>
      </c>
      <c r="L20" s="26" t="e">
        <f>'Lsandelar totalt'!#REF!</f>
        <v>#REF!</v>
      </c>
      <c r="M20" s="899" t="e">
        <f t="shared" si="3"/>
        <v>#REF!</v>
      </c>
      <c r="N20" s="323">
        <f>'Lsandelar totalt'!J20</f>
        <v>17930.900000000001</v>
      </c>
      <c r="O20" s="26">
        <v>15545.42</v>
      </c>
      <c r="P20" s="899">
        <f t="shared" si="4"/>
        <v>0.15345227082960777</v>
      </c>
      <c r="Q20" s="323">
        <f>'Lsandelar totalt'!K20</f>
        <v>0</v>
      </c>
      <c r="R20" s="26">
        <v>0</v>
      </c>
      <c r="S20" s="905"/>
      <c r="T20" s="881">
        <f t="shared" si="11"/>
        <v>2012129.0099999998</v>
      </c>
      <c r="U20" s="881" t="e">
        <f t="shared" si="5"/>
        <v>#REF!</v>
      </c>
      <c r="V20" s="902" t="e">
        <f t="shared" si="6"/>
        <v>#REF!</v>
      </c>
      <c r="W20" s="882">
        <f>'Lsandelar totalt'!N20</f>
        <v>0</v>
      </c>
      <c r="X20" s="26">
        <v>81591.59</v>
      </c>
      <c r="Y20" s="901">
        <f t="shared" si="7"/>
        <v>-1</v>
      </c>
      <c r="Z20" s="884">
        <f t="shared" si="8"/>
        <v>2012129.0099999998</v>
      </c>
      <c r="AA20" s="884" t="e">
        <f t="shared" si="9"/>
        <v>#REF!</v>
      </c>
      <c r="AB20" s="903" t="e">
        <f t="shared" si="10"/>
        <v>#REF!</v>
      </c>
      <c r="AC20" s="904"/>
      <c r="AD20" s="876"/>
    </row>
    <row r="21" spans="1:30" ht="15.75">
      <c r="A21" s="6" t="s">
        <v>107</v>
      </c>
      <c r="B21" s="323">
        <f>'Lsandelar totalt'!B21</f>
        <v>727979.14</v>
      </c>
      <c r="C21" s="26">
        <v>607819.13</v>
      </c>
      <c r="D21" s="899">
        <f t="shared" si="0"/>
        <v>0.19769040503874896</v>
      </c>
      <c r="E21" s="323">
        <f>'Lsandelar totalt'!C21</f>
        <v>386076.37</v>
      </c>
      <c r="F21" s="900">
        <v>371117.54800000007</v>
      </c>
      <c r="G21" s="899">
        <f t="shared" si="1"/>
        <v>4.0307503863977689E-2</v>
      </c>
      <c r="H21" s="323">
        <f>'Lsandelar totalt'!E21</f>
        <v>0</v>
      </c>
      <c r="I21" s="26">
        <v>77124.72</v>
      </c>
      <c r="J21" s="899">
        <f t="shared" si="2"/>
        <v>-1</v>
      </c>
      <c r="K21" s="323">
        <f>'Lsandelar totalt'!H21</f>
        <v>239096.27</v>
      </c>
      <c r="L21" s="26" t="e">
        <f>'Lsandelar totalt'!#REF!</f>
        <v>#REF!</v>
      </c>
      <c r="M21" s="899" t="e">
        <f t="shared" si="3"/>
        <v>#REF!</v>
      </c>
      <c r="N21" s="323">
        <f>'Lsandelar totalt'!J21</f>
        <v>8487.89</v>
      </c>
      <c r="O21" s="26">
        <v>6483.54</v>
      </c>
      <c r="P21" s="899">
        <f t="shared" si="4"/>
        <v>0.30914438717120579</v>
      </c>
      <c r="Q21" s="323">
        <f>'Lsandelar totalt'!K21</f>
        <v>0</v>
      </c>
      <c r="R21" s="26">
        <v>0</v>
      </c>
      <c r="S21" s="905"/>
      <c r="T21" s="881">
        <f t="shared" si="11"/>
        <v>1361639.67</v>
      </c>
      <c r="U21" s="881" t="e">
        <f t="shared" si="5"/>
        <v>#REF!</v>
      </c>
      <c r="V21" s="902" t="e">
        <f t="shared" si="6"/>
        <v>#REF!</v>
      </c>
      <c r="W21" s="882">
        <f>'Lsandelar totalt'!N21</f>
        <v>0</v>
      </c>
      <c r="X21" s="26">
        <v>-96108.17</v>
      </c>
      <c r="Y21" s="901">
        <f t="shared" si="7"/>
        <v>-1</v>
      </c>
      <c r="Z21" s="884">
        <f t="shared" si="8"/>
        <v>1361639.67</v>
      </c>
      <c r="AA21" s="884" t="e">
        <f t="shared" si="9"/>
        <v>#REF!</v>
      </c>
      <c r="AB21" s="903" t="e">
        <f t="shared" si="10"/>
        <v>#REF!</v>
      </c>
      <c r="AC21" s="904"/>
      <c r="AD21" s="876"/>
    </row>
    <row r="22" spans="1:30" ht="15.75">
      <c r="A22" s="6" t="s">
        <v>108</v>
      </c>
      <c r="B22" s="323">
        <f>'Lsandelar totalt'!B22</f>
        <v>547136.74</v>
      </c>
      <c r="C22" s="882">
        <v>0</v>
      </c>
      <c r="D22" s="899">
        <v>0</v>
      </c>
      <c r="E22" s="323">
        <f>'Lsandelar totalt'!C22</f>
        <v>825918.13</v>
      </c>
      <c r="F22" s="906">
        <v>644542.63399999996</v>
      </c>
      <c r="G22" s="899">
        <f t="shared" si="1"/>
        <v>0.28140185991172162</v>
      </c>
      <c r="H22" s="323">
        <f>'Lsandelar totalt'!E22</f>
        <v>273757.61</v>
      </c>
      <c r="I22" s="26">
        <v>292431.23000000004</v>
      </c>
      <c r="J22" s="899">
        <f t="shared" si="2"/>
        <v>-6.3856449258172771E-2</v>
      </c>
      <c r="K22" s="323">
        <f>'Lsandelar totalt'!H22</f>
        <v>2317623.41</v>
      </c>
      <c r="L22" s="26" t="e">
        <f>'Lsandelar totalt'!#REF!</f>
        <v>#REF!</v>
      </c>
      <c r="M22" s="899" t="e">
        <f t="shared" si="3"/>
        <v>#REF!</v>
      </c>
      <c r="N22" s="323">
        <f>'Lsandelar totalt'!J22</f>
        <v>212864.05</v>
      </c>
      <c r="O22" s="26">
        <v>176065.81</v>
      </c>
      <c r="P22" s="899">
        <f t="shared" si="4"/>
        <v>0.20900275868438054</v>
      </c>
      <c r="Q22" s="323">
        <f>'Lsandelar totalt'!K22</f>
        <v>0</v>
      </c>
      <c r="R22" s="26">
        <v>100852.37999999999</v>
      </c>
      <c r="S22" s="905"/>
      <c r="T22" s="881">
        <f t="shared" si="11"/>
        <v>4177299.94</v>
      </c>
      <c r="U22" s="881" t="e">
        <f t="shared" si="5"/>
        <v>#REF!</v>
      </c>
      <c r="V22" s="902" t="e">
        <f t="shared" si="6"/>
        <v>#REF!</v>
      </c>
      <c r="W22" s="882">
        <f>'Lsandelar totalt'!N22</f>
        <v>0</v>
      </c>
      <c r="X22" s="882">
        <v>-320068.8</v>
      </c>
      <c r="Y22" s="901">
        <f t="shared" si="7"/>
        <v>-1</v>
      </c>
      <c r="Z22" s="884">
        <f t="shared" si="8"/>
        <v>4177299.94</v>
      </c>
      <c r="AA22" s="884" t="e">
        <f t="shared" si="9"/>
        <v>#REF!</v>
      </c>
      <c r="AB22" s="903" t="e">
        <f t="shared" si="10"/>
        <v>#REF!</v>
      </c>
      <c r="AC22" s="904"/>
      <c r="AD22" s="876"/>
    </row>
    <row r="23" spans="1:30" ht="30">
      <c r="A23" s="322" t="s">
        <v>269</v>
      </c>
      <c r="B23" s="271"/>
      <c r="C23" s="297"/>
      <c r="D23" s="296"/>
      <c r="E23" s="271"/>
      <c r="F23" s="297"/>
      <c r="G23" s="296"/>
      <c r="H23" s="271"/>
      <c r="I23" s="297"/>
      <c r="J23" s="296"/>
      <c r="K23" s="333"/>
      <c r="L23" s="297"/>
      <c r="M23" s="296"/>
      <c r="N23" s="271"/>
      <c r="O23" s="297"/>
      <c r="P23" s="296"/>
      <c r="Q23" s="271"/>
      <c r="R23" s="297"/>
      <c r="S23" s="296"/>
      <c r="T23" s="272">
        <v>400000</v>
      </c>
      <c r="U23" s="272">
        <v>300000</v>
      </c>
      <c r="V23" s="295">
        <f t="shared" si="6"/>
        <v>0.33333333333333331</v>
      </c>
      <c r="W23" s="297"/>
      <c r="X23" s="297"/>
      <c r="Y23" s="294"/>
      <c r="Z23" s="273">
        <f>T23</f>
        <v>400000</v>
      </c>
      <c r="AA23" s="273">
        <f>U23</f>
        <v>300000</v>
      </c>
      <c r="AB23" s="293">
        <f t="shared" si="10"/>
        <v>0.33333333333333331</v>
      </c>
      <c r="AC23" s="298"/>
      <c r="AD23" s="876"/>
    </row>
    <row r="24" spans="1:30" s="1" customFormat="1" ht="15.75">
      <c r="A24" s="9" t="s">
        <v>109</v>
      </c>
      <c r="B24" s="331">
        <f>SUM(B7:B23)</f>
        <v>17927767.649999999</v>
      </c>
      <c r="C24" s="14">
        <f>SUM(C7:C23)</f>
        <v>14386975.060000002</v>
      </c>
      <c r="D24" s="252">
        <f t="shared" si="0"/>
        <v>0.24611098408340437</v>
      </c>
      <c r="E24" s="324">
        <f>SUM(E7:E23)</f>
        <v>6464202.9399999995</v>
      </c>
      <c r="F24" s="14">
        <f>SUM(F7:F23)</f>
        <v>5421099.5559999999</v>
      </c>
      <c r="G24" s="252">
        <f>(E24-F24)/F24</f>
        <v>0.19241546354659855</v>
      </c>
      <c r="H24" s="324">
        <f>'Lsandelar totalt'!E26</f>
        <v>1603437.4299999997</v>
      </c>
      <c r="I24" s="14">
        <f>SUM(I7:I23)</f>
        <v>1057251.3699999999</v>
      </c>
      <c r="J24" s="252">
        <f>(H24-I24)/I24</f>
        <v>0.5166094606242978</v>
      </c>
      <c r="K24" s="324">
        <f>SUM(K7:K23)</f>
        <v>6117069.870000001</v>
      </c>
      <c r="L24" s="14" t="e">
        <f>SUM(L7:L23)</f>
        <v>#REF!</v>
      </c>
      <c r="M24" s="252" t="e">
        <f t="shared" si="3"/>
        <v>#REF!</v>
      </c>
      <c r="N24" s="324">
        <f>'Lsandelar totalt'!J26</f>
        <v>550379.39</v>
      </c>
      <c r="O24" s="14">
        <f>SUM(O7:O23)</f>
        <v>444635.14999999997</v>
      </c>
      <c r="P24" s="252">
        <f t="shared" si="4"/>
        <v>0.23782249334088873</v>
      </c>
      <c r="Q24" s="324">
        <f>'Lsandelar totalt'!K26</f>
        <v>0</v>
      </c>
      <c r="R24" s="14">
        <v>101372.58000000002</v>
      </c>
      <c r="S24" s="252">
        <f>(Q24-R24)/R24</f>
        <v>-1</v>
      </c>
      <c r="T24" s="90">
        <f>SUM(T7:T23)</f>
        <v>33062857.280000005</v>
      </c>
      <c r="U24" s="90" t="e">
        <f>SUM(U7:U23)</f>
        <v>#REF!</v>
      </c>
      <c r="V24" s="254" t="e">
        <f>(T24-U24)/U24</f>
        <v>#REF!</v>
      </c>
      <c r="W24" s="14">
        <f>SUM(W7:W23)</f>
        <v>0</v>
      </c>
      <c r="X24" s="14">
        <f>SUM(X7:X23)</f>
        <v>1.0000000009313226E-2</v>
      </c>
      <c r="Y24" s="252">
        <v>0</v>
      </c>
      <c r="Z24" s="88">
        <f>SUM(Z7:Z23)</f>
        <v>33062857.280000005</v>
      </c>
      <c r="AA24" s="88" t="e">
        <f>SUM(AA7:AA23)</f>
        <v>#REF!</v>
      </c>
      <c r="AB24" s="258" t="e">
        <f t="shared" si="10"/>
        <v>#REF!</v>
      </c>
      <c r="AC24" s="276"/>
      <c r="AD24" s="4"/>
    </row>
    <row r="25" spans="1:30" ht="15.75">
      <c r="A25" s="876"/>
      <c r="B25" s="907"/>
      <c r="C25" s="876"/>
      <c r="D25" s="908"/>
      <c r="E25" s="876"/>
      <c r="F25" s="876"/>
      <c r="G25" s="908"/>
      <c r="H25" s="876"/>
      <c r="I25" s="876"/>
      <c r="J25" s="908"/>
      <c r="K25" s="876"/>
      <c r="L25" s="876"/>
      <c r="M25" s="908"/>
      <c r="N25" s="876"/>
      <c r="O25" s="876"/>
      <c r="P25" s="908"/>
      <c r="Q25" s="876"/>
      <c r="R25" s="876"/>
      <c r="S25" s="908"/>
      <c r="T25" s="876"/>
      <c r="U25" s="876"/>
      <c r="V25" s="908"/>
      <c r="W25" s="876"/>
      <c r="X25" s="876"/>
      <c r="Y25" s="908"/>
      <c r="Z25" s="876"/>
      <c r="AA25" s="876"/>
      <c r="AB25" s="876"/>
      <c r="AC25" s="909"/>
      <c r="AD25" s="876"/>
    </row>
    <row r="26" spans="1:30" s="85" customFormat="1" ht="12">
      <c r="A26" s="224" t="s">
        <v>270</v>
      </c>
      <c r="B26" s="251">
        <f>B24-C24</f>
        <v>3540792.5899999961</v>
      </c>
      <c r="D26" s="253"/>
      <c r="E26" s="93">
        <f>E24-F24</f>
        <v>1043103.3839999996</v>
      </c>
      <c r="G26" s="292"/>
      <c r="H26" s="93">
        <f>H24-I24</f>
        <v>546186.05999999982</v>
      </c>
      <c r="J26" s="292"/>
      <c r="K26" s="93" t="e">
        <f>K24-L24</f>
        <v>#REF!</v>
      </c>
      <c r="M26" s="253"/>
      <c r="N26" s="93">
        <f>N24-O24</f>
        <v>105744.24000000005</v>
      </c>
      <c r="P26" s="253"/>
      <c r="Q26" s="93">
        <f>Q24-R24</f>
        <v>-101372.58000000002</v>
      </c>
      <c r="S26" s="253"/>
      <c r="T26" s="93" t="e">
        <f>T24-U24</f>
        <v>#REF!</v>
      </c>
      <c r="V26" s="253"/>
      <c r="W26" s="93"/>
      <c r="Y26" s="253"/>
      <c r="Z26" s="93" t="e">
        <f>Z24-AA24</f>
        <v>#REF!</v>
      </c>
      <c r="AC26" s="277"/>
    </row>
    <row r="28" spans="1:30">
      <c r="K28" s="2"/>
      <c r="T28" s="2"/>
    </row>
    <row r="29" spans="1:30" ht="15.75">
      <c r="S29" s="2"/>
      <c r="T29" s="2"/>
      <c r="Z29" s="14"/>
      <c r="AA29" s="14"/>
    </row>
  </sheetData>
  <mergeCells count="1">
    <mergeCell ref="B5:AB5"/>
  </mergeCells>
  <pageMargins left="0.7" right="0.7" top="0.75" bottom="0.75" header="0.3" footer="0.3"/>
  <pageSetup paperSize="9" orientation="landscape" horizontalDpi="300" verticalDpi="300" r:id="rId1"/>
  <colBreaks count="1" manualBreakCount="1">
    <brk id="13"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7"/>
  <sheetViews>
    <sheetView zoomScale="80" zoomScaleNormal="80" zoomScalePageLayoutView="80" workbookViewId="0">
      <selection activeCell="H15" sqref="H15"/>
    </sheetView>
  </sheetViews>
  <sheetFormatPr defaultColWidth="8.77734375" defaultRowHeight="15"/>
  <cols>
    <col min="1" max="1" width="8.77734375" style="18"/>
    <col min="2" max="2" width="13.5546875" style="18" customWidth="1"/>
    <col min="3" max="3" width="13.33203125" style="18" customWidth="1"/>
    <col min="4" max="4" width="8.77734375" style="18"/>
    <col min="5" max="6" width="10.77734375" style="18" bestFit="1" customWidth="1"/>
    <col min="7" max="7" width="10.77734375" style="18" customWidth="1"/>
    <col min="8" max="8" width="8.77734375" style="18"/>
    <col min="9" max="9" width="12.109375" style="18" bestFit="1" customWidth="1"/>
    <col min="10" max="14" width="8.77734375" style="18"/>
    <col min="15" max="15" width="10.109375" style="18" customWidth="1"/>
    <col min="16" max="16" width="10.21875" style="18" customWidth="1"/>
    <col min="17" max="17" width="9.6640625" style="18" customWidth="1"/>
    <col min="18" max="16384" width="8.77734375" style="18"/>
  </cols>
  <sheetData>
    <row r="1" spans="1:16" ht="15.75">
      <c r="A1" s="11" t="s">
        <v>271</v>
      </c>
      <c r="B1" s="876"/>
      <c r="C1" s="876"/>
      <c r="D1" s="876"/>
      <c r="E1" s="876"/>
      <c r="F1" s="876"/>
      <c r="G1" s="876"/>
      <c r="H1" s="876"/>
      <c r="I1" s="876"/>
      <c r="J1" s="876"/>
      <c r="K1" s="876"/>
      <c r="L1" s="876"/>
      <c r="M1" s="876"/>
      <c r="N1" s="876"/>
      <c r="O1" s="876"/>
      <c r="P1" s="876"/>
    </row>
    <row r="2" spans="1:16">
      <c r="A2" s="270" t="s">
        <v>272</v>
      </c>
      <c r="B2" s="876"/>
      <c r="C2" s="876"/>
      <c r="D2" s="876"/>
      <c r="E2" s="876"/>
      <c r="F2" s="876"/>
      <c r="G2" s="876"/>
      <c r="H2" s="876"/>
      <c r="I2" s="876"/>
      <c r="J2" s="876"/>
      <c r="K2" s="876"/>
      <c r="L2" s="876"/>
      <c r="M2" s="876"/>
      <c r="N2" s="876"/>
      <c r="O2" s="876"/>
      <c r="P2" s="876"/>
    </row>
    <row r="3" spans="1:16">
      <c r="A3" s="91"/>
      <c r="B3" s="876"/>
      <c r="C3" s="876"/>
      <c r="D3" s="876"/>
      <c r="E3" s="876"/>
      <c r="F3" s="876"/>
      <c r="G3" s="876"/>
      <c r="H3" s="876"/>
      <c r="I3" s="876"/>
      <c r="J3" s="876"/>
      <c r="K3" s="876"/>
      <c r="L3" s="876"/>
      <c r="M3" s="876"/>
      <c r="N3" s="876"/>
      <c r="O3" s="876"/>
      <c r="P3" s="876"/>
    </row>
    <row r="5" spans="1:16">
      <c r="A5" s="876"/>
      <c r="B5" s="4" t="s">
        <v>273</v>
      </c>
      <c r="C5" s="876"/>
      <c r="D5" s="876">
        <f>B25/C25</f>
        <v>1.0944240768850306</v>
      </c>
      <c r="E5" s="876"/>
      <c r="F5" s="876"/>
      <c r="G5" s="876"/>
      <c r="H5" s="876"/>
      <c r="I5" s="876"/>
      <c r="J5" s="876"/>
      <c r="K5" s="876"/>
      <c r="L5" s="876"/>
      <c r="M5" s="876"/>
      <c r="N5" s="876"/>
      <c r="O5" s="876"/>
      <c r="P5" s="876"/>
    </row>
    <row r="6" spans="1:16">
      <c r="A6" s="876"/>
      <c r="B6" s="53" t="s">
        <v>274</v>
      </c>
      <c r="C6" s="876"/>
      <c r="D6" s="876"/>
      <c r="E6" s="876"/>
      <c r="F6" s="876"/>
      <c r="G6" s="876"/>
      <c r="H6" s="876"/>
      <c r="I6" s="876"/>
      <c r="J6" s="876"/>
      <c r="K6" s="876"/>
      <c r="L6" s="876"/>
      <c r="M6" s="876"/>
      <c r="N6" s="876"/>
      <c r="O6" s="876"/>
      <c r="P6" s="876"/>
    </row>
    <row r="7" spans="1:16">
      <c r="A7" s="4" t="s">
        <v>275</v>
      </c>
      <c r="B7" s="876"/>
      <c r="C7" s="876"/>
      <c r="D7" s="876"/>
      <c r="E7" s="876"/>
      <c r="F7" s="876"/>
      <c r="G7" s="876"/>
      <c r="H7" s="876"/>
      <c r="I7" s="876"/>
      <c r="J7" s="876"/>
      <c r="K7" s="876"/>
      <c r="L7" s="876"/>
      <c r="M7" s="876"/>
      <c r="N7" s="876"/>
      <c r="O7" s="876"/>
      <c r="P7" s="876"/>
    </row>
    <row r="8" spans="1:16">
      <c r="A8" s="910"/>
      <c r="B8" s="52" t="s">
        <v>276</v>
      </c>
      <c r="C8" s="289" t="s">
        <v>277</v>
      </c>
      <c r="D8" s="8" t="s">
        <v>278</v>
      </c>
      <c r="E8" s="8">
        <v>2018</v>
      </c>
      <c r="F8" s="8">
        <v>2019</v>
      </c>
      <c r="G8" s="8">
        <v>2020</v>
      </c>
      <c r="H8" s="876"/>
      <c r="I8" s="286" t="s">
        <v>279</v>
      </c>
      <c r="J8" s="286"/>
      <c r="K8" s="286"/>
      <c r="L8" s="286"/>
      <c r="M8" s="286"/>
      <c r="N8" s="286"/>
      <c r="O8" s="286"/>
      <c r="P8" s="286"/>
    </row>
    <row r="9" spans="1:16" ht="15.75">
      <c r="A9" s="6" t="s">
        <v>93</v>
      </c>
      <c r="B9" s="882">
        <f>G38+K38+P38</f>
        <v>1099351.5699999998</v>
      </c>
      <c r="C9" s="286">
        <v>1119531.6448890658</v>
      </c>
      <c r="D9" s="882">
        <f t="shared" ref="D9:D23" si="0">C9*$D$5-B9</f>
        <v>125890.81700129597</v>
      </c>
      <c r="E9" s="882">
        <f>D9*-0.75</f>
        <v>-94418.112750971981</v>
      </c>
      <c r="F9" s="911">
        <f>ROUND(D9*-0.5,2)</f>
        <v>-62945.41</v>
      </c>
      <c r="G9" s="911">
        <f>ROUND(D9*-0.25,2)</f>
        <v>-31472.7</v>
      </c>
      <c r="H9" s="876"/>
      <c r="I9"/>
      <c r="J9" s="876"/>
      <c r="K9" s="876"/>
      <c r="L9" s="876"/>
      <c r="M9" s="876"/>
      <c r="N9"/>
      <c r="O9" s="876"/>
      <c r="P9" s="876"/>
    </row>
    <row r="10" spans="1:16" ht="15.75">
      <c r="A10" s="6" t="s">
        <v>94</v>
      </c>
      <c r="B10" s="882">
        <f t="shared" ref="B10:B23" si="1">G39+K39+P39</f>
        <v>2308659.2200000002</v>
      </c>
      <c r="C10" s="286">
        <v>2379972.2963313838</v>
      </c>
      <c r="D10" s="882">
        <f t="shared" si="0"/>
        <v>296039.76342442119</v>
      </c>
      <c r="E10" s="882">
        <f t="shared" ref="E10:E24" si="2">D10*-0.75</f>
        <v>-222029.8225683159</v>
      </c>
      <c r="F10" s="911">
        <f t="shared" ref="F10:F24" si="3">ROUND(D10*-0.5,2)</f>
        <v>-148019.88</v>
      </c>
      <c r="G10" s="911">
        <f t="shared" ref="G10:G24" si="4">ROUND(D10*-0.25,2)</f>
        <v>-74009.94</v>
      </c>
      <c r="H10" s="876"/>
      <c r="I10"/>
      <c r="J10" s="876"/>
      <c r="K10" s="876"/>
      <c r="L10" s="876"/>
      <c r="M10" s="876"/>
      <c r="N10"/>
      <c r="O10" s="876"/>
      <c r="P10" s="876"/>
    </row>
    <row r="11" spans="1:16" ht="15.75">
      <c r="A11" s="6" t="s">
        <v>95</v>
      </c>
      <c r="B11" s="882">
        <f t="shared" si="1"/>
        <v>3396353.8000000003</v>
      </c>
      <c r="C11" s="286">
        <v>3774588.0203166674</v>
      </c>
      <c r="D11" s="882">
        <f t="shared" si="0"/>
        <v>734646.20975636365</v>
      </c>
      <c r="E11" s="882">
        <f t="shared" si="2"/>
        <v>-550984.65731727274</v>
      </c>
      <c r="F11" s="911">
        <f t="shared" si="3"/>
        <v>-367323.1</v>
      </c>
      <c r="G11" s="911">
        <f t="shared" si="4"/>
        <v>-183661.55</v>
      </c>
      <c r="H11" s="876"/>
      <c r="I11"/>
      <c r="J11" s="876"/>
      <c r="K11" s="876"/>
      <c r="L11" s="876"/>
      <c r="M11" s="876"/>
      <c r="N11"/>
      <c r="O11" s="876"/>
      <c r="P11" s="876"/>
    </row>
    <row r="12" spans="1:16" ht="15.75">
      <c r="A12" s="6" t="s">
        <v>96</v>
      </c>
      <c r="B12" s="882">
        <f t="shared" si="1"/>
        <v>1664137.22</v>
      </c>
      <c r="C12" s="286">
        <v>1337436.4197697665</v>
      </c>
      <c r="D12" s="882">
        <f t="shared" si="0"/>
        <v>-200414.60090105282</v>
      </c>
      <c r="E12" s="882">
        <f t="shared" si="2"/>
        <v>150310.95067578962</v>
      </c>
      <c r="F12" s="911">
        <f t="shared" si="3"/>
        <v>100207.3</v>
      </c>
      <c r="G12" s="911">
        <f t="shared" si="4"/>
        <v>50103.65</v>
      </c>
      <c r="H12" s="876"/>
      <c r="I12"/>
      <c r="J12" s="876"/>
      <c r="K12" s="876"/>
      <c r="L12" s="876"/>
      <c r="M12" s="876"/>
      <c r="N12"/>
      <c r="O12" s="876"/>
      <c r="P12" s="876"/>
    </row>
    <row r="13" spans="1:16" ht="15.75">
      <c r="A13" s="6" t="s">
        <v>97</v>
      </c>
      <c r="B13" s="882">
        <f t="shared" si="1"/>
        <v>1827073.7</v>
      </c>
      <c r="C13" s="286">
        <v>1503942.0451326687</v>
      </c>
      <c r="D13" s="882">
        <f t="shared" si="0"/>
        <v>-181123.3155670939</v>
      </c>
      <c r="E13" s="882">
        <f t="shared" si="2"/>
        <v>135842.48667532043</v>
      </c>
      <c r="F13" s="911">
        <f t="shared" si="3"/>
        <v>90561.66</v>
      </c>
      <c r="G13" s="911">
        <f t="shared" si="4"/>
        <v>45280.83</v>
      </c>
      <c r="H13" s="876"/>
      <c r="I13"/>
      <c r="J13" s="876"/>
      <c r="K13" s="876"/>
      <c r="L13" s="876"/>
      <c r="M13" s="876"/>
      <c r="N13"/>
      <c r="O13" s="876"/>
      <c r="P13" s="876"/>
    </row>
    <row r="14" spans="1:16" ht="15.75">
      <c r="A14" s="6" t="s">
        <v>98</v>
      </c>
      <c r="B14" s="882">
        <f t="shared" si="1"/>
        <v>2831701.5500000003</v>
      </c>
      <c r="C14" s="286">
        <v>2862181.6594141605</v>
      </c>
      <c r="D14" s="882">
        <f t="shared" si="0"/>
        <v>300738.9704816076</v>
      </c>
      <c r="E14" s="882">
        <f t="shared" si="2"/>
        <v>-225554.2278612057</v>
      </c>
      <c r="F14" s="911">
        <f t="shared" si="3"/>
        <v>-150369.49</v>
      </c>
      <c r="G14" s="911">
        <f t="shared" si="4"/>
        <v>-75184.740000000005</v>
      </c>
      <c r="H14" s="876"/>
      <c r="I14"/>
      <c r="J14" s="876"/>
      <c r="K14" s="876"/>
      <c r="L14" s="876"/>
      <c r="M14" s="876"/>
      <c r="N14"/>
      <c r="O14" s="876"/>
      <c r="P14" s="876"/>
    </row>
    <row r="15" spans="1:16" ht="15.75">
      <c r="A15" s="6" t="s">
        <v>99</v>
      </c>
      <c r="B15" s="882">
        <f t="shared" si="1"/>
        <v>4372360.7399999993</v>
      </c>
      <c r="C15" s="286">
        <v>3590545.8278557793</v>
      </c>
      <c r="D15" s="882">
        <f t="shared" si="0"/>
        <v>-442780.93683553999</v>
      </c>
      <c r="E15" s="882">
        <f t="shared" si="2"/>
        <v>332085.70262665499</v>
      </c>
      <c r="F15" s="911">
        <f t="shared" si="3"/>
        <v>221390.47</v>
      </c>
      <c r="G15" s="911">
        <f t="shared" si="4"/>
        <v>110695.23</v>
      </c>
      <c r="H15" s="876"/>
      <c r="I15"/>
      <c r="J15" s="876"/>
      <c r="K15" s="876"/>
      <c r="L15" s="876"/>
      <c r="M15" s="876"/>
      <c r="N15"/>
      <c r="O15" s="876"/>
      <c r="P15" s="876"/>
    </row>
    <row r="16" spans="1:16" ht="15.75">
      <c r="A16" s="6" t="s">
        <v>100</v>
      </c>
      <c r="B16" s="882">
        <f t="shared" si="1"/>
        <v>833399.37000000011</v>
      </c>
      <c r="C16" s="286">
        <v>799221.43960829312</v>
      </c>
      <c r="D16" s="882">
        <f t="shared" si="0"/>
        <v>41287.816270031384</v>
      </c>
      <c r="E16" s="882">
        <f t="shared" si="2"/>
        <v>-30965.862202523538</v>
      </c>
      <c r="F16" s="911">
        <f t="shared" si="3"/>
        <v>-20643.91</v>
      </c>
      <c r="G16" s="911">
        <f t="shared" si="4"/>
        <v>-10321.950000000001</v>
      </c>
      <c r="H16" s="876"/>
      <c r="I16"/>
      <c r="J16" s="876"/>
      <c r="K16" s="876"/>
      <c r="L16" s="876"/>
      <c r="M16" s="876"/>
      <c r="N16"/>
      <c r="O16" s="876"/>
      <c r="P16" s="876"/>
    </row>
    <row r="17" spans="1:17" ht="15.75">
      <c r="A17" s="6" t="s">
        <v>101</v>
      </c>
      <c r="B17" s="882">
        <f t="shared" si="1"/>
        <v>657284.34000000008</v>
      </c>
      <c r="C17" s="286">
        <v>701234.05158727779</v>
      </c>
      <c r="D17" s="882">
        <f t="shared" si="0"/>
        <v>110163.08958875632</v>
      </c>
      <c r="E17" s="882">
        <f t="shared" si="2"/>
        <v>-82622.317191567243</v>
      </c>
      <c r="F17" s="911">
        <f t="shared" si="3"/>
        <v>-55081.54</v>
      </c>
      <c r="G17" s="911">
        <f t="shared" si="4"/>
        <v>-27540.77</v>
      </c>
      <c r="H17" s="876"/>
      <c r="I17"/>
      <c r="J17" s="876"/>
      <c r="K17" s="876"/>
      <c r="L17" s="876"/>
      <c r="M17" s="876"/>
      <c r="N17"/>
      <c r="O17" s="876"/>
      <c r="P17" s="876"/>
      <c r="Q17" s="876"/>
    </row>
    <row r="18" spans="1:17" ht="15.75">
      <c r="A18" s="6" t="s">
        <v>102</v>
      </c>
      <c r="B18" s="882">
        <f t="shared" si="1"/>
        <v>2991911.7399999998</v>
      </c>
      <c r="C18" s="286">
        <v>2143240.9013162362</v>
      </c>
      <c r="D18" s="882">
        <f t="shared" si="0"/>
        <v>-646297.29503473686</v>
      </c>
      <c r="E18" s="882">
        <f t="shared" si="2"/>
        <v>484722.97127605265</v>
      </c>
      <c r="F18" s="911">
        <f t="shared" si="3"/>
        <v>323148.65000000002</v>
      </c>
      <c r="G18" s="911">
        <f t="shared" si="4"/>
        <v>161574.32</v>
      </c>
      <c r="H18" s="882"/>
      <c r="I18"/>
      <c r="J18" s="876"/>
      <c r="K18" s="876"/>
      <c r="L18" s="876"/>
      <c r="M18" s="876"/>
      <c r="N18"/>
      <c r="O18" s="876"/>
      <c r="P18" s="876"/>
      <c r="Q18" s="876"/>
    </row>
    <row r="19" spans="1:17" ht="15.75">
      <c r="A19" s="6" t="s">
        <v>103</v>
      </c>
      <c r="B19" s="882">
        <f t="shared" si="1"/>
        <v>788747.04</v>
      </c>
      <c r="C19" s="286">
        <v>582800.41450836498</v>
      </c>
      <c r="D19" s="882">
        <f t="shared" si="0"/>
        <v>-150916.23434346949</v>
      </c>
      <c r="E19" s="882">
        <f t="shared" si="2"/>
        <v>113187.17575760212</v>
      </c>
      <c r="F19" s="911">
        <f t="shared" si="3"/>
        <v>75458.12</v>
      </c>
      <c r="G19" s="911">
        <f t="shared" si="4"/>
        <v>37729.06</v>
      </c>
      <c r="H19" s="876"/>
      <c r="I19"/>
      <c r="J19" s="876"/>
      <c r="K19" s="876"/>
      <c r="L19" s="876"/>
      <c r="M19" s="876"/>
      <c r="N19"/>
      <c r="O19" s="876"/>
      <c r="P19" s="876"/>
      <c r="Q19" s="876"/>
    </row>
    <row r="20" spans="1:17" ht="15.75">
      <c r="A20" s="6" t="s">
        <v>104</v>
      </c>
      <c r="B20" s="882">
        <f t="shared" si="1"/>
        <v>3182543.45</v>
      </c>
      <c r="C20" s="286">
        <v>2394114.2147885724</v>
      </c>
      <c r="D20" s="882">
        <f t="shared" si="0"/>
        <v>-562367.21052268706</v>
      </c>
      <c r="E20" s="882">
        <f t="shared" si="2"/>
        <v>421775.4078920153</v>
      </c>
      <c r="F20" s="911">
        <f t="shared" si="3"/>
        <v>281183.61</v>
      </c>
      <c r="G20" s="911">
        <f t="shared" si="4"/>
        <v>140591.79999999999</v>
      </c>
      <c r="H20" s="876"/>
      <c r="I20"/>
      <c r="J20" s="876"/>
      <c r="K20" s="876"/>
      <c r="L20" s="876"/>
      <c r="M20" s="876"/>
      <c r="N20"/>
      <c r="O20" s="876"/>
      <c r="P20" s="876"/>
      <c r="Q20" s="876"/>
    </row>
    <row r="21" spans="1:17" ht="15.75">
      <c r="A21" s="6" t="s">
        <v>105</v>
      </c>
      <c r="B21" s="882">
        <f t="shared" si="1"/>
        <v>212781.40000000002</v>
      </c>
      <c r="C21" s="286">
        <v>108498.69102587605</v>
      </c>
      <c r="D21" s="882">
        <f t="shared" si="0"/>
        <v>-94037.820230771467</v>
      </c>
      <c r="E21" s="882">
        <f t="shared" si="2"/>
        <v>70528.365173078608</v>
      </c>
      <c r="F21" s="911">
        <f t="shared" si="3"/>
        <v>47018.91</v>
      </c>
      <c r="G21" s="911">
        <f t="shared" si="4"/>
        <v>23509.46</v>
      </c>
      <c r="H21" s="876"/>
      <c r="I21"/>
      <c r="J21" s="876"/>
      <c r="K21" s="876"/>
      <c r="L21" s="876"/>
      <c r="M21" s="876"/>
      <c r="N21"/>
      <c r="O21" s="876"/>
      <c r="P21" s="876"/>
      <c r="Q21" s="876"/>
    </row>
    <row r="22" spans="1:17" ht="15.75">
      <c r="A22" s="6" t="s">
        <v>106</v>
      </c>
      <c r="B22" s="882">
        <f t="shared" si="1"/>
        <v>2287138.8300000005</v>
      </c>
      <c r="C22" s="286">
        <v>1940706.2464427499</v>
      </c>
      <c r="D22" s="882">
        <f t="shared" si="0"/>
        <v>-163183.18773188116</v>
      </c>
      <c r="E22" s="882">
        <f t="shared" si="2"/>
        <v>122387.39079891087</v>
      </c>
      <c r="F22" s="911">
        <f t="shared" si="3"/>
        <v>81591.59</v>
      </c>
      <c r="G22" s="911">
        <f t="shared" si="4"/>
        <v>40795.800000000003</v>
      </c>
      <c r="H22" s="876"/>
      <c r="I22"/>
      <c r="J22" s="876"/>
      <c r="K22" s="876"/>
      <c r="L22" s="876"/>
      <c r="M22" s="876"/>
      <c r="N22"/>
      <c r="O22" s="876"/>
      <c r="P22" s="876"/>
      <c r="Q22" s="876"/>
    </row>
    <row r="23" spans="1:17" ht="15.75">
      <c r="A23" s="6" t="s">
        <v>107</v>
      </c>
      <c r="B23" s="882">
        <f t="shared" si="1"/>
        <v>1501990.19</v>
      </c>
      <c r="C23" s="286">
        <v>1548034.7682471073</v>
      </c>
      <c r="D23" s="882">
        <f t="shared" si="0"/>
        <v>192216.33222477278</v>
      </c>
      <c r="E23" s="882">
        <f t="shared" si="2"/>
        <v>-144162.24916857958</v>
      </c>
      <c r="F23" s="911">
        <f t="shared" si="3"/>
        <v>-96108.17</v>
      </c>
      <c r="G23" s="911">
        <f t="shared" si="4"/>
        <v>-48054.080000000002</v>
      </c>
      <c r="H23" s="876"/>
      <c r="I23"/>
      <c r="J23" s="876"/>
      <c r="K23" s="876"/>
      <c r="L23" s="876"/>
      <c r="M23" s="876"/>
      <c r="N23"/>
      <c r="O23" s="876"/>
      <c r="P23" s="876"/>
      <c r="Q23" s="876"/>
    </row>
    <row r="24" spans="1:17" ht="15.75">
      <c r="A24" s="6" t="s">
        <v>108</v>
      </c>
      <c r="B24" s="888">
        <f>G54+K54+P54</f>
        <v>6178814.8700000001</v>
      </c>
      <c r="C24" s="287">
        <v>6230630.9011660321</v>
      </c>
      <c r="D24" s="888">
        <f>C24*$D$5-B24</f>
        <v>640137.6024199808</v>
      </c>
      <c r="E24" s="888">
        <f t="shared" si="2"/>
        <v>-480103.2018149856</v>
      </c>
      <c r="F24" s="912">
        <f t="shared" si="3"/>
        <v>-320068.8</v>
      </c>
      <c r="G24" s="912">
        <f t="shared" si="4"/>
        <v>-160034.4</v>
      </c>
      <c r="H24" s="876"/>
      <c r="I24"/>
      <c r="J24" s="876"/>
      <c r="K24" s="876"/>
      <c r="L24" s="876"/>
      <c r="M24" s="876"/>
      <c r="N24"/>
      <c r="O24" s="876"/>
      <c r="P24" s="876"/>
      <c r="Q24" s="876"/>
    </row>
    <row r="25" spans="1:17" ht="15.75">
      <c r="A25" s="9" t="s">
        <v>109</v>
      </c>
      <c r="B25" s="14">
        <f t="shared" ref="B25:G25" si="5">SUM(B9:B24)</f>
        <v>36134249.030000001</v>
      </c>
      <c r="C25" s="288">
        <v>33016679.542400002</v>
      </c>
      <c r="D25" s="14">
        <f t="shared" si="5"/>
        <v>-3.0267983675003052E-9</v>
      </c>
      <c r="E25" s="14">
        <f t="shared" si="5"/>
        <v>2.3283064365386963E-9</v>
      </c>
      <c r="F25" s="14">
        <f t="shared" si="5"/>
        <v>1.0000000009313226E-2</v>
      </c>
      <c r="G25" s="14">
        <f t="shared" si="5"/>
        <v>1.999999993131496E-2</v>
      </c>
      <c r="H25" s="876"/>
      <c r="I25"/>
      <c r="J25" s="876"/>
      <c r="K25" s="876"/>
      <c r="L25" s="876"/>
      <c r="M25" s="876"/>
      <c r="N25"/>
      <c r="O25" s="876"/>
      <c r="P25" s="876"/>
      <c r="Q25" s="876"/>
    </row>
    <row r="26" spans="1:17">
      <c r="A26" s="876"/>
      <c r="B26" s="882"/>
      <c r="C26" s="876"/>
      <c r="D26" s="876"/>
      <c r="E26" s="876"/>
      <c r="F26" s="876"/>
      <c r="G26" s="876"/>
      <c r="H26" s="876"/>
      <c r="I26" s="876"/>
      <c r="J26" s="876"/>
      <c r="K26" s="876"/>
      <c r="L26" s="876"/>
      <c r="M26" s="876"/>
      <c r="N26" s="876"/>
      <c r="O26" s="876"/>
      <c r="P26" s="876"/>
      <c r="Q26" s="876"/>
    </row>
    <row r="27" spans="1:17">
      <c r="A27" s="4" t="s">
        <v>280</v>
      </c>
      <c r="B27" s="882">
        <f>C25-B25</f>
        <v>-3117569.4875999987</v>
      </c>
      <c r="C27" s="876"/>
      <c r="D27" s="876"/>
      <c r="E27" s="876"/>
      <c r="F27" s="876"/>
      <c r="G27" s="876"/>
      <c r="H27" s="876"/>
      <c r="I27" s="876"/>
      <c r="J27" s="876"/>
      <c r="K27" s="876"/>
      <c r="L27" s="876"/>
      <c r="M27" s="876"/>
      <c r="N27" s="876"/>
      <c r="O27" s="876"/>
      <c r="P27" s="876"/>
      <c r="Q27" s="876"/>
    </row>
    <row r="29" spans="1:17">
      <c r="A29" s="86" t="s">
        <v>281</v>
      </c>
      <c r="B29" s="876"/>
      <c r="C29" s="876"/>
      <c r="D29" s="876"/>
      <c r="E29" s="876"/>
      <c r="F29" s="876"/>
      <c r="G29" s="876"/>
      <c r="H29" s="876"/>
      <c r="I29" s="876"/>
      <c r="J29" s="876"/>
      <c r="K29" s="876"/>
      <c r="L29" s="876"/>
      <c r="M29" s="876"/>
      <c r="N29" s="876"/>
      <c r="O29" s="876"/>
      <c r="P29" s="876"/>
      <c r="Q29" s="876"/>
    </row>
    <row r="31" spans="1:17" ht="18.75" thickBot="1">
      <c r="A31" s="58" t="s">
        <v>282</v>
      </c>
      <c r="B31" s="59"/>
      <c r="C31" s="59"/>
      <c r="D31" s="59"/>
      <c r="E31" s="59"/>
      <c r="F31" s="59"/>
      <c r="G31" s="59"/>
      <c r="H31" s="59"/>
      <c r="I31" s="59"/>
      <c r="J31" s="60"/>
      <c r="K31" s="59"/>
      <c r="L31" s="59"/>
      <c r="M31" s="59"/>
      <c r="N31" s="60"/>
      <c r="O31" s="61"/>
      <c r="P31" s="62"/>
      <c r="Q31" s="62"/>
    </row>
    <row r="32" spans="1:17" ht="24">
      <c r="A32" s="28" t="s">
        <v>283</v>
      </c>
      <c r="B32" s="29" t="s">
        <v>284</v>
      </c>
      <c r="C32" s="29" t="s">
        <v>119</v>
      </c>
      <c r="D32" s="29" t="s">
        <v>285</v>
      </c>
      <c r="E32" s="29" t="s">
        <v>286</v>
      </c>
      <c r="F32" s="29" t="s">
        <v>287</v>
      </c>
      <c r="G32" s="30" t="s">
        <v>288</v>
      </c>
      <c r="H32" s="31" t="s">
        <v>289</v>
      </c>
      <c r="I32" s="31" t="s">
        <v>290</v>
      </c>
      <c r="J32" s="31" t="s">
        <v>291</v>
      </c>
      <c r="K32" s="30" t="s">
        <v>288</v>
      </c>
      <c r="L32" s="31" t="s">
        <v>292</v>
      </c>
      <c r="M32" s="31" t="s">
        <v>293</v>
      </c>
      <c r="N32" s="32" t="s">
        <v>288</v>
      </c>
      <c r="O32" s="30" t="s">
        <v>288</v>
      </c>
      <c r="P32" s="33" t="s">
        <v>294</v>
      </c>
      <c r="Q32" s="34" t="s">
        <v>288</v>
      </c>
    </row>
    <row r="33" spans="1:17" ht="24">
      <c r="A33" s="35"/>
      <c r="B33" s="63"/>
      <c r="C33" s="63"/>
      <c r="D33" s="29" t="s">
        <v>295</v>
      </c>
      <c r="E33" s="63"/>
      <c r="F33" s="29" t="s">
        <v>296</v>
      </c>
      <c r="G33" s="30" t="s">
        <v>297</v>
      </c>
      <c r="H33" s="31" t="s">
        <v>298</v>
      </c>
      <c r="I33" s="31" t="s">
        <v>299</v>
      </c>
      <c r="J33" s="31" t="s">
        <v>300</v>
      </c>
      <c r="K33" s="30" t="s">
        <v>297</v>
      </c>
      <c r="L33" s="31" t="s">
        <v>301</v>
      </c>
      <c r="M33" s="31" t="s">
        <v>302</v>
      </c>
      <c r="N33" s="32" t="s">
        <v>297</v>
      </c>
      <c r="O33" s="30" t="s">
        <v>297</v>
      </c>
      <c r="P33" s="33" t="s">
        <v>303</v>
      </c>
      <c r="Q33" s="36" t="s">
        <v>297</v>
      </c>
    </row>
    <row r="34" spans="1:17" ht="24">
      <c r="A34" s="35"/>
      <c r="B34" s="63"/>
      <c r="C34" s="63"/>
      <c r="D34" s="64"/>
      <c r="E34" s="63"/>
      <c r="F34" s="29"/>
      <c r="G34" s="30" t="s">
        <v>304</v>
      </c>
      <c r="H34" s="31"/>
      <c r="I34" s="31" t="s">
        <v>305</v>
      </c>
      <c r="J34" s="31" t="s">
        <v>306</v>
      </c>
      <c r="K34" s="30" t="s">
        <v>307</v>
      </c>
      <c r="L34" s="31" t="s">
        <v>308</v>
      </c>
      <c r="M34" s="31" t="s">
        <v>309</v>
      </c>
      <c r="N34" s="32" t="s">
        <v>310</v>
      </c>
      <c r="O34" s="30" t="s">
        <v>311</v>
      </c>
      <c r="P34" s="33" t="s">
        <v>312</v>
      </c>
      <c r="Q34" s="36"/>
    </row>
    <row r="35" spans="1:17">
      <c r="A35" s="65"/>
      <c r="B35" s="66"/>
      <c r="C35" s="66"/>
      <c r="D35" s="67"/>
      <c r="E35" s="66"/>
      <c r="F35" s="66"/>
      <c r="G35" s="30" t="s">
        <v>313</v>
      </c>
      <c r="H35" s="68"/>
      <c r="I35" s="31" t="s">
        <v>314</v>
      </c>
      <c r="J35" s="69" t="s">
        <v>315</v>
      </c>
      <c r="K35" s="30" t="s">
        <v>316</v>
      </c>
      <c r="L35" s="37"/>
      <c r="M35" s="31"/>
      <c r="N35" s="32" t="s">
        <v>317</v>
      </c>
      <c r="O35" s="30"/>
      <c r="P35" s="33"/>
      <c r="Q35" s="36" t="s">
        <v>318</v>
      </c>
    </row>
    <row r="36" spans="1:17">
      <c r="A36" s="70"/>
      <c r="B36" s="67"/>
      <c r="C36" s="71"/>
      <c r="D36" s="67"/>
      <c r="E36" s="71"/>
      <c r="F36" s="71"/>
      <c r="G36" s="72"/>
      <c r="H36" s="73"/>
      <c r="I36" s="67"/>
      <c r="J36" s="74" t="s">
        <v>319</v>
      </c>
      <c r="K36" s="75"/>
      <c r="L36" s="67"/>
      <c r="M36" s="31"/>
      <c r="N36" s="76"/>
      <c r="O36" s="72"/>
      <c r="P36" s="77"/>
      <c r="Q36" s="36" t="s">
        <v>320</v>
      </c>
    </row>
    <row r="37" spans="1:17">
      <c r="A37" s="70"/>
      <c r="B37" s="67"/>
      <c r="C37" s="71"/>
      <c r="D37" s="67"/>
      <c r="E37" s="71"/>
      <c r="F37" s="71"/>
      <c r="G37" s="72"/>
      <c r="H37" s="73"/>
      <c r="I37" s="67"/>
      <c r="J37" s="74"/>
      <c r="K37" s="75"/>
      <c r="L37" s="67"/>
      <c r="M37" s="78" t="s">
        <v>321</v>
      </c>
      <c r="N37" s="76"/>
      <c r="O37" s="72"/>
      <c r="P37" s="77"/>
      <c r="Q37" s="36"/>
    </row>
    <row r="38" spans="1:17">
      <c r="A38" s="38" t="s">
        <v>93</v>
      </c>
      <c r="B38" s="39">
        <v>609433.78</v>
      </c>
      <c r="C38" s="39">
        <v>290952.03000000003</v>
      </c>
      <c r="D38" s="39"/>
      <c r="E38" s="39">
        <v>12164.07</v>
      </c>
      <c r="F38" s="39">
        <v>14838.84</v>
      </c>
      <c r="G38" s="40">
        <v>927388.72</v>
      </c>
      <c r="H38" s="39">
        <v>200260.07</v>
      </c>
      <c r="I38" s="41">
        <v>34391.379999999997</v>
      </c>
      <c r="J38" s="39"/>
      <c r="K38" s="42">
        <v>234651.45</v>
      </c>
      <c r="L38" s="39">
        <v>17985.96</v>
      </c>
      <c r="M38" s="39"/>
      <c r="N38" s="43">
        <v>17985.96</v>
      </c>
      <c r="O38" s="40">
        <v>1180026.1299999999</v>
      </c>
      <c r="P38" s="44">
        <v>-62688.6</v>
      </c>
      <c r="Q38" s="45">
        <v>1117337.5299999998</v>
      </c>
    </row>
    <row r="39" spans="1:17">
      <c r="A39" s="38" t="s">
        <v>94</v>
      </c>
      <c r="B39" s="39">
        <v>1296434.22</v>
      </c>
      <c r="C39" s="39">
        <v>541108.41</v>
      </c>
      <c r="D39" s="39"/>
      <c r="E39" s="39">
        <v>24198.74</v>
      </c>
      <c r="F39" s="39">
        <v>29519.82</v>
      </c>
      <c r="G39" s="40">
        <v>1891261.19</v>
      </c>
      <c r="H39" s="39">
        <v>165863.87</v>
      </c>
      <c r="I39" s="41">
        <v>376244.46</v>
      </c>
      <c r="J39" s="39"/>
      <c r="K39" s="42">
        <v>542108.33000000007</v>
      </c>
      <c r="L39" s="39">
        <v>53452.06</v>
      </c>
      <c r="M39" s="39"/>
      <c r="N39" s="43">
        <v>53452.06</v>
      </c>
      <c r="O39" s="40">
        <v>2486821.58</v>
      </c>
      <c r="P39" s="44">
        <v>-124710.3</v>
      </c>
      <c r="Q39" s="45">
        <v>2362111.2800000003</v>
      </c>
    </row>
    <row r="40" spans="1:17">
      <c r="A40" s="38" t="s">
        <v>95</v>
      </c>
      <c r="B40" s="39">
        <v>2248813.54</v>
      </c>
      <c r="C40" s="39">
        <v>1219216.8999999999</v>
      </c>
      <c r="D40" s="39"/>
      <c r="E40" s="39">
        <v>54393.24</v>
      </c>
      <c r="F40" s="39">
        <v>66353.820000000007</v>
      </c>
      <c r="G40" s="40">
        <v>3588777.5</v>
      </c>
      <c r="H40" s="39">
        <v>6403.45</v>
      </c>
      <c r="I40" s="41">
        <v>137557.21</v>
      </c>
      <c r="J40" s="39"/>
      <c r="K40" s="42">
        <v>143960.66</v>
      </c>
      <c r="L40" s="39">
        <v>114643.94</v>
      </c>
      <c r="M40" s="39"/>
      <c r="N40" s="43">
        <v>114643.94</v>
      </c>
      <c r="O40" s="40">
        <v>3847382.1</v>
      </c>
      <c r="P40" s="44">
        <v>-336384.36</v>
      </c>
      <c r="Q40" s="45">
        <v>3510997.74</v>
      </c>
    </row>
    <row r="41" spans="1:17">
      <c r="A41" s="38" t="s">
        <v>96</v>
      </c>
      <c r="B41" s="39">
        <v>780128.88</v>
      </c>
      <c r="C41" s="39">
        <v>468370.4</v>
      </c>
      <c r="D41" s="39"/>
      <c r="E41" s="39">
        <v>14338.07</v>
      </c>
      <c r="F41" s="39">
        <v>17490.89</v>
      </c>
      <c r="G41" s="40">
        <v>1280328.24</v>
      </c>
      <c r="H41" s="39">
        <v>260284.03</v>
      </c>
      <c r="I41" s="41">
        <v>197417.47</v>
      </c>
      <c r="J41" s="39"/>
      <c r="K41" s="42">
        <v>457701.5</v>
      </c>
      <c r="L41" s="39">
        <v>23574.1</v>
      </c>
      <c r="M41" s="39"/>
      <c r="N41" s="43">
        <v>23574.1</v>
      </c>
      <c r="O41" s="40">
        <v>1761603.8399999999</v>
      </c>
      <c r="P41" s="44">
        <v>-73892.52</v>
      </c>
      <c r="Q41" s="45">
        <v>1687711.3199999998</v>
      </c>
    </row>
    <row r="42" spans="1:17">
      <c r="A42" s="38" t="s">
        <v>97</v>
      </c>
      <c r="B42" s="39">
        <v>814657.53</v>
      </c>
      <c r="C42" s="39">
        <v>421188.99</v>
      </c>
      <c r="D42" s="39"/>
      <c r="E42" s="39">
        <v>12940.5</v>
      </c>
      <c r="F42" s="39">
        <v>15786</v>
      </c>
      <c r="G42" s="40">
        <v>1264573.02</v>
      </c>
      <c r="H42" s="39">
        <v>205434</v>
      </c>
      <c r="I42" s="41">
        <v>423756.68</v>
      </c>
      <c r="J42" s="39"/>
      <c r="K42" s="42">
        <v>629190.67999999993</v>
      </c>
      <c r="L42" s="39">
        <v>18830.810000000001</v>
      </c>
      <c r="M42" s="39"/>
      <c r="N42" s="43">
        <v>18830.810000000001</v>
      </c>
      <c r="O42" s="40">
        <v>1912594.51</v>
      </c>
      <c r="P42" s="44">
        <v>-66690</v>
      </c>
      <c r="Q42" s="45">
        <v>1845904.51</v>
      </c>
    </row>
    <row r="43" spans="1:17">
      <c r="A43" s="38" t="s">
        <v>98</v>
      </c>
      <c r="B43" s="39">
        <v>1570846.38</v>
      </c>
      <c r="C43" s="39">
        <v>881571.53</v>
      </c>
      <c r="D43" s="39"/>
      <c r="E43" s="39">
        <v>39779.1</v>
      </c>
      <c r="F43" s="39">
        <v>48526.16</v>
      </c>
      <c r="G43" s="40">
        <v>2540723.1700000004</v>
      </c>
      <c r="H43" s="39">
        <v>87708.91</v>
      </c>
      <c r="I43" s="41">
        <v>408274.53</v>
      </c>
      <c r="J43" s="39"/>
      <c r="K43" s="42">
        <v>495983.44000000006</v>
      </c>
      <c r="L43" s="39">
        <v>84670.1</v>
      </c>
      <c r="M43" s="39"/>
      <c r="N43" s="43">
        <v>84670.1</v>
      </c>
      <c r="O43" s="40">
        <v>3121376.7100000004</v>
      </c>
      <c r="P43" s="44">
        <v>-205005.06</v>
      </c>
      <c r="Q43" s="45">
        <v>2916371.6500000004</v>
      </c>
    </row>
    <row r="44" spans="1:17">
      <c r="A44" s="38" t="s">
        <v>99</v>
      </c>
      <c r="B44" s="39">
        <v>2768875.57</v>
      </c>
      <c r="C44" s="39">
        <v>2000900.79</v>
      </c>
      <c r="D44" s="39"/>
      <c r="E44" s="39">
        <v>100245.74</v>
      </c>
      <c r="F44" s="39">
        <v>122288.88</v>
      </c>
      <c r="G44" s="40">
        <v>4992310.9799999995</v>
      </c>
      <c r="H44" s="39">
        <v>0</v>
      </c>
      <c r="I44" s="41" t="s">
        <v>322</v>
      </c>
      <c r="J44" s="39"/>
      <c r="K44" s="42">
        <v>0</v>
      </c>
      <c r="L44" s="39">
        <v>171518.71</v>
      </c>
      <c r="M44" s="39"/>
      <c r="N44" s="43">
        <v>171518.71</v>
      </c>
      <c r="O44" s="40">
        <v>5163829.6899999995</v>
      </c>
      <c r="P44" s="44">
        <v>-619950.24</v>
      </c>
      <c r="Q44" s="45">
        <v>4543879.4499999993</v>
      </c>
    </row>
    <row r="45" spans="1:17">
      <c r="A45" s="38" t="s">
        <v>100</v>
      </c>
      <c r="B45" s="39">
        <v>478792.69</v>
      </c>
      <c r="C45" s="39">
        <v>157271.37</v>
      </c>
      <c r="D45" s="39"/>
      <c r="E45" s="39">
        <v>8204.2800000000007</v>
      </c>
      <c r="F45" s="39">
        <v>10008.32</v>
      </c>
      <c r="G45" s="40">
        <v>654276.66</v>
      </c>
      <c r="H45" s="39">
        <v>156230.9</v>
      </c>
      <c r="I45" s="41">
        <v>65173.27</v>
      </c>
      <c r="J45" s="39"/>
      <c r="K45" s="42">
        <v>221404.16999999998</v>
      </c>
      <c r="L45" s="39">
        <v>7739.56</v>
      </c>
      <c r="M45" s="39"/>
      <c r="N45" s="43">
        <v>7739.56</v>
      </c>
      <c r="O45" s="40">
        <v>883420.39</v>
      </c>
      <c r="P45" s="44">
        <v>-42281.46</v>
      </c>
      <c r="Q45" s="45">
        <v>841138.93</v>
      </c>
    </row>
    <row r="46" spans="1:17">
      <c r="A46" s="38" t="s">
        <v>101</v>
      </c>
      <c r="B46" s="39">
        <v>271382.59000000003</v>
      </c>
      <c r="C46" s="39">
        <v>196589.21</v>
      </c>
      <c r="D46" s="39"/>
      <c r="E46" s="39">
        <v>6470.25</v>
      </c>
      <c r="F46" s="39">
        <v>7893</v>
      </c>
      <c r="G46" s="40">
        <v>482335.05000000005</v>
      </c>
      <c r="H46" s="39">
        <v>102717</v>
      </c>
      <c r="I46" s="41">
        <v>105577.29</v>
      </c>
      <c r="J46" s="39"/>
      <c r="K46" s="42">
        <v>208294.28999999998</v>
      </c>
      <c r="L46" s="39">
        <v>2200.3000000000002</v>
      </c>
      <c r="M46" s="39"/>
      <c r="N46" s="43">
        <v>2200.3000000000002</v>
      </c>
      <c r="O46" s="40">
        <v>692829.64</v>
      </c>
      <c r="P46" s="44">
        <v>-33345</v>
      </c>
      <c r="Q46" s="45">
        <v>659484.64</v>
      </c>
    </row>
    <row r="47" spans="1:17">
      <c r="A47" s="38" t="s">
        <v>102</v>
      </c>
      <c r="B47" s="39">
        <v>1891217.84</v>
      </c>
      <c r="C47" s="39">
        <v>1138248.1399999999</v>
      </c>
      <c r="D47" s="39"/>
      <c r="E47" s="39">
        <v>51529.07</v>
      </c>
      <c r="F47" s="39">
        <v>62859.85</v>
      </c>
      <c r="G47" s="40">
        <v>3143854.9</v>
      </c>
      <c r="H47" s="39">
        <v>113616.42</v>
      </c>
      <c r="I47" s="41" t="s">
        <v>322</v>
      </c>
      <c r="J47" s="39"/>
      <c r="K47" s="42">
        <v>113616.42</v>
      </c>
      <c r="L47" s="39">
        <v>59619.01</v>
      </c>
      <c r="M47" s="39"/>
      <c r="N47" s="43">
        <v>59619.01</v>
      </c>
      <c r="O47" s="40">
        <v>3317090.33</v>
      </c>
      <c r="P47" s="44">
        <v>-265559.58</v>
      </c>
      <c r="Q47" s="45">
        <v>3051530.75</v>
      </c>
    </row>
    <row r="48" spans="1:17">
      <c r="A48" s="38" t="s">
        <v>103</v>
      </c>
      <c r="B48" s="39">
        <v>506315.04</v>
      </c>
      <c r="C48" s="39">
        <v>253600.08</v>
      </c>
      <c r="D48" s="39"/>
      <c r="E48" s="39">
        <v>10300.64</v>
      </c>
      <c r="F48" s="39">
        <v>12565.66</v>
      </c>
      <c r="G48" s="40">
        <v>782781.42</v>
      </c>
      <c r="H48" s="39">
        <v>59050.86</v>
      </c>
      <c r="I48" s="41" t="s">
        <v>322</v>
      </c>
      <c r="J48" s="39"/>
      <c r="K48" s="42">
        <v>59050.86</v>
      </c>
      <c r="L48" s="39">
        <v>21110.76</v>
      </c>
      <c r="M48" s="39"/>
      <c r="N48" s="43">
        <v>21110.76</v>
      </c>
      <c r="O48" s="40">
        <v>862943.04</v>
      </c>
      <c r="P48" s="44">
        <v>-53085.24</v>
      </c>
      <c r="Q48" s="45">
        <v>809857.8</v>
      </c>
    </row>
    <row r="49" spans="1:17">
      <c r="A49" s="38" t="s">
        <v>104</v>
      </c>
      <c r="B49" s="39">
        <v>1951187.68</v>
      </c>
      <c r="C49" s="39">
        <v>1028892.55</v>
      </c>
      <c r="D49" s="39"/>
      <c r="E49" s="39">
        <v>47336.35</v>
      </c>
      <c r="F49" s="39">
        <v>57745.19</v>
      </c>
      <c r="G49" s="40">
        <v>3085161.77</v>
      </c>
      <c r="H49" s="39">
        <v>104371.89</v>
      </c>
      <c r="I49" s="41">
        <v>236961.81</v>
      </c>
      <c r="J49" s="39"/>
      <c r="K49" s="42">
        <v>341333.7</v>
      </c>
      <c r="L49" s="39">
        <v>96267.01</v>
      </c>
      <c r="M49" s="39"/>
      <c r="N49" s="43">
        <v>96267.01</v>
      </c>
      <c r="O49" s="40">
        <v>3522762.48</v>
      </c>
      <c r="P49" s="44">
        <v>-243952.02</v>
      </c>
      <c r="Q49" s="45">
        <v>3278810.46</v>
      </c>
    </row>
    <row r="50" spans="1:17">
      <c r="A50" s="38" t="s">
        <v>105</v>
      </c>
      <c r="B50" s="39">
        <v>153771.67000000001</v>
      </c>
      <c r="C50" s="39">
        <v>23590.71</v>
      </c>
      <c r="D50" s="39"/>
      <c r="E50" s="39">
        <v>2562.2199999999998</v>
      </c>
      <c r="F50" s="39">
        <v>3125.63</v>
      </c>
      <c r="G50" s="40">
        <v>183050.23</v>
      </c>
      <c r="H50" s="39">
        <v>42935.79</v>
      </c>
      <c r="I50" s="41" t="s">
        <v>322</v>
      </c>
      <c r="J50" s="39"/>
      <c r="K50" s="42">
        <v>42935.79</v>
      </c>
      <c r="L50" s="39">
        <v>16516.080000000002</v>
      </c>
      <c r="M50" s="39"/>
      <c r="N50" s="43">
        <v>16516.080000000002</v>
      </c>
      <c r="O50" s="40">
        <v>242502.1</v>
      </c>
      <c r="P50" s="44">
        <v>-13204.62</v>
      </c>
      <c r="Q50" s="45">
        <v>229297.48</v>
      </c>
    </row>
    <row r="51" spans="1:17">
      <c r="A51" s="38" t="s">
        <v>106</v>
      </c>
      <c r="B51" s="39">
        <v>1231513.75</v>
      </c>
      <c r="C51" s="39">
        <v>763742.29</v>
      </c>
      <c r="D51" s="39"/>
      <c r="E51" s="39">
        <v>26683.31</v>
      </c>
      <c r="F51" s="39">
        <v>32550.73</v>
      </c>
      <c r="G51" s="40">
        <v>2054490.08</v>
      </c>
      <c r="H51" s="39">
        <v>157250.60999999999</v>
      </c>
      <c r="I51" s="41">
        <v>212912.92</v>
      </c>
      <c r="J51" s="39"/>
      <c r="K51" s="42">
        <v>370163.53</v>
      </c>
      <c r="L51" s="39">
        <v>42421.240000000005</v>
      </c>
      <c r="M51" s="39"/>
      <c r="N51" s="43">
        <v>42421.240000000005</v>
      </c>
      <c r="O51" s="40">
        <v>2467074.85</v>
      </c>
      <c r="P51" s="44">
        <v>-137514.78</v>
      </c>
      <c r="Q51" s="45">
        <v>2329560.0700000003</v>
      </c>
    </row>
    <row r="52" spans="1:17">
      <c r="A52" s="38" t="s">
        <v>107</v>
      </c>
      <c r="B52" s="39">
        <v>666322.37</v>
      </c>
      <c r="C52" s="39">
        <v>440723.62</v>
      </c>
      <c r="D52" s="39"/>
      <c r="E52" s="39">
        <v>11413.52</v>
      </c>
      <c r="F52" s="39">
        <v>13923.25</v>
      </c>
      <c r="G52" s="40">
        <v>1132382.76</v>
      </c>
      <c r="H52" s="39">
        <v>181192.79</v>
      </c>
      <c r="I52" s="41">
        <v>247235.22</v>
      </c>
      <c r="J52" s="39"/>
      <c r="K52" s="42">
        <v>428428.01</v>
      </c>
      <c r="L52" s="39">
        <v>25696.13</v>
      </c>
      <c r="M52" s="39"/>
      <c r="N52" s="43">
        <v>25696.13</v>
      </c>
      <c r="O52" s="40">
        <v>1586506.9</v>
      </c>
      <c r="P52" s="44">
        <v>-58820.58</v>
      </c>
      <c r="Q52" s="45">
        <v>1527686.3199999998</v>
      </c>
    </row>
    <row r="53" spans="1:17">
      <c r="A53" s="38"/>
      <c r="B53" s="39"/>
      <c r="C53" s="39"/>
      <c r="D53" s="39"/>
      <c r="E53" s="39"/>
      <c r="F53" s="39"/>
      <c r="G53" s="40"/>
      <c r="H53" s="39"/>
      <c r="I53" s="41"/>
      <c r="J53" s="39"/>
      <c r="K53" s="42"/>
      <c r="L53" s="39"/>
      <c r="M53" s="39"/>
      <c r="N53" s="43"/>
      <c r="O53" s="40"/>
      <c r="P53" s="44"/>
      <c r="Q53" s="45"/>
    </row>
    <row r="54" spans="1:17">
      <c r="A54" s="38" t="s">
        <v>108</v>
      </c>
      <c r="B54" s="39">
        <v>4646104.0599999996</v>
      </c>
      <c r="C54" s="39">
        <v>2338647.77</v>
      </c>
      <c r="D54" s="39">
        <v>283752</v>
      </c>
      <c r="E54" s="39">
        <v>197748.09</v>
      </c>
      <c r="F54" s="39">
        <v>241231.13</v>
      </c>
      <c r="G54" s="40">
        <v>7707483.0499999998</v>
      </c>
      <c r="H54" s="39">
        <v>0</v>
      </c>
      <c r="I54" s="41" t="s">
        <v>322</v>
      </c>
      <c r="J54" s="39"/>
      <c r="K54" s="42">
        <v>0</v>
      </c>
      <c r="L54" s="39">
        <v>198207.18</v>
      </c>
      <c r="M54" s="39"/>
      <c r="N54" s="43">
        <v>198207.18</v>
      </c>
      <c r="O54" s="40">
        <v>7905690.2299999995</v>
      </c>
      <c r="P54" s="44">
        <v>-1528668.18</v>
      </c>
      <c r="Q54" s="45">
        <v>6377022.0499999998</v>
      </c>
    </row>
    <row r="55" spans="1:17">
      <c r="A55" s="38"/>
      <c r="B55" s="39"/>
      <c r="C55" s="39"/>
      <c r="D55" s="39"/>
      <c r="E55" s="39"/>
      <c r="F55" s="39"/>
      <c r="G55" s="40"/>
      <c r="H55" s="39"/>
      <c r="I55" s="41"/>
      <c r="J55" s="39"/>
      <c r="K55" s="42"/>
      <c r="L55" s="39"/>
      <c r="M55" s="39"/>
      <c r="N55" s="43"/>
      <c r="O55" s="40"/>
      <c r="P55" s="44"/>
      <c r="Q55" s="45"/>
    </row>
    <row r="56" spans="1:17">
      <c r="A56" s="38" t="s">
        <v>323</v>
      </c>
      <c r="B56" s="39"/>
      <c r="C56" s="39"/>
      <c r="D56" s="39"/>
      <c r="E56" s="39"/>
      <c r="F56" s="39"/>
      <c r="G56" s="40"/>
      <c r="H56" s="39"/>
      <c r="I56" s="41"/>
      <c r="J56" s="39"/>
      <c r="K56" s="42"/>
      <c r="L56" s="39"/>
      <c r="M56" s="39"/>
      <c r="N56" s="43">
        <v>0</v>
      </c>
      <c r="O56" s="40">
        <v>0</v>
      </c>
      <c r="P56" s="44"/>
      <c r="Q56" s="45">
        <v>0</v>
      </c>
    </row>
    <row r="57" spans="1:17">
      <c r="A57" s="46" t="s">
        <v>324</v>
      </c>
      <c r="B57" s="47">
        <v>21885797.589999996</v>
      </c>
      <c r="C57" s="47">
        <v>12164614.790000001</v>
      </c>
      <c r="D57" s="47">
        <v>283752</v>
      </c>
      <c r="E57" s="47">
        <v>620307.19000000006</v>
      </c>
      <c r="F57" s="47">
        <v>756707.16999999993</v>
      </c>
      <c r="G57" s="48">
        <v>35711178.740000002</v>
      </c>
      <c r="H57" s="47">
        <v>1843320.5899999999</v>
      </c>
      <c r="I57" s="47">
        <v>2445502.2400000002</v>
      </c>
      <c r="J57" s="47"/>
      <c r="K57" s="48">
        <v>4288822.83</v>
      </c>
      <c r="L57" s="47">
        <v>954452.95</v>
      </c>
      <c r="M57" s="47">
        <v>0</v>
      </c>
      <c r="N57" s="49">
        <v>954452.95</v>
      </c>
      <c r="O57" s="48">
        <v>40954454.520000003</v>
      </c>
      <c r="P57" s="50">
        <v>-3865752.54</v>
      </c>
      <c r="Q57" s="51">
        <v>37088701.980000004</v>
      </c>
    </row>
  </sheetData>
  <pageMargins left="0.7" right="0.7" top="0.75" bottom="0.75" header="0.3" footer="0.3"/>
  <pageSetup paperSize="9" orientation="landscape" r:id="rId1"/>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6"/>
  <sheetViews>
    <sheetView zoomScaleNormal="100" workbookViewId="0">
      <selection activeCell="B23" sqref="B23"/>
    </sheetView>
  </sheetViews>
  <sheetFormatPr defaultColWidth="8.77734375" defaultRowHeight="15"/>
  <cols>
    <col min="1" max="1" width="16.109375" style="5" customWidth="1"/>
    <col min="2" max="2" width="12.77734375" style="5" customWidth="1"/>
    <col min="3" max="16384" width="8.77734375" style="5"/>
  </cols>
  <sheetData>
    <row r="1" spans="1:3" ht="15.75">
      <c r="A1" s="11" t="s">
        <v>325</v>
      </c>
      <c r="B1" s="876"/>
      <c r="C1" s="876"/>
    </row>
    <row r="2" spans="1:3">
      <c r="A2" s="876" t="s">
        <v>326</v>
      </c>
      <c r="B2" s="876"/>
      <c r="C2" s="876"/>
    </row>
    <row r="4" spans="1:3">
      <c r="A4" s="246" t="e">
        <f>#REF!</f>
        <v>#REF!</v>
      </c>
      <c r="B4" s="876"/>
      <c r="C4" s="876"/>
    </row>
    <row r="5" spans="1:3">
      <c r="A5" s="246"/>
      <c r="B5" s="876"/>
      <c r="C5" s="876"/>
    </row>
    <row r="6" spans="1:3" ht="24.75">
      <c r="A6" s="105"/>
      <c r="B6" s="250" t="s">
        <v>327</v>
      </c>
      <c r="C6" s="876"/>
    </row>
    <row r="7" spans="1:3">
      <c r="A7" s="149" t="s">
        <v>93</v>
      </c>
      <c r="B7" s="241">
        <f>'Skattekompl data'!G124</f>
        <v>0</v>
      </c>
      <c r="C7" s="913"/>
    </row>
    <row r="8" spans="1:3">
      <c r="A8" s="149" t="s">
        <v>94</v>
      </c>
      <c r="B8" s="241">
        <f>'Skattekompl data'!G125</f>
        <v>1234667.81</v>
      </c>
      <c r="C8" s="913"/>
    </row>
    <row r="9" spans="1:3">
      <c r="A9" s="149" t="s">
        <v>95</v>
      </c>
      <c r="B9" s="241">
        <f>'Skattekompl data'!G126</f>
        <v>2815081.78</v>
      </c>
      <c r="C9" s="913"/>
    </row>
    <row r="10" spans="1:3">
      <c r="A10" s="149" t="s">
        <v>96</v>
      </c>
      <c r="B10" s="241">
        <f>'Skattekompl data'!G127</f>
        <v>539897.48</v>
      </c>
      <c r="C10" s="913"/>
    </row>
    <row r="11" spans="1:3">
      <c r="A11" s="149" t="s">
        <v>97</v>
      </c>
      <c r="B11" s="241">
        <f>'Skattekompl data'!G128</f>
        <v>1070923.78</v>
      </c>
      <c r="C11" s="913"/>
    </row>
    <row r="12" spans="1:3">
      <c r="A12" s="149" t="s">
        <v>98</v>
      </c>
      <c r="B12" s="241">
        <f>'Skattekompl data'!G129</f>
        <v>2358487.65</v>
      </c>
      <c r="C12" s="913"/>
    </row>
    <row r="13" spans="1:3">
      <c r="A13" s="149" t="s">
        <v>99</v>
      </c>
      <c r="B13" s="241">
        <f>'Skattekompl data'!G130</f>
        <v>3074878.35</v>
      </c>
      <c r="C13" s="913"/>
    </row>
    <row r="14" spans="1:3">
      <c r="A14" s="149" t="s">
        <v>100</v>
      </c>
      <c r="B14" s="241">
        <f>'Skattekompl data'!G131</f>
        <v>287263.88</v>
      </c>
      <c r="C14" s="913"/>
    </row>
    <row r="15" spans="1:3">
      <c r="A15" s="149" t="s">
        <v>101</v>
      </c>
      <c r="B15" s="241">
        <f>'Skattekompl data'!G132</f>
        <v>360209.84</v>
      </c>
      <c r="C15" s="913"/>
    </row>
    <row r="16" spans="1:3">
      <c r="A16" s="149" t="s">
        <v>102</v>
      </c>
      <c r="B16" s="241">
        <f>'Skattekompl data'!G133</f>
        <v>1953960.17</v>
      </c>
      <c r="C16" s="913"/>
    </row>
    <row r="17" spans="1:3">
      <c r="A17" s="149" t="s">
        <v>103</v>
      </c>
      <c r="B17" s="241">
        <f>'Skattekompl data'!G134</f>
        <v>319736.71999999997</v>
      </c>
      <c r="C17" s="913"/>
    </row>
    <row r="18" spans="1:3">
      <c r="A18" s="149" t="s">
        <v>104</v>
      </c>
      <c r="B18" s="241">
        <f>'Skattekompl data'!G135</f>
        <v>1293625.1399999999</v>
      </c>
      <c r="C18" s="913"/>
    </row>
    <row r="19" spans="1:3">
      <c r="A19" s="149" t="s">
        <v>105</v>
      </c>
      <c r="B19" s="241">
        <f>'Skattekompl data'!G136</f>
        <v>106097.7</v>
      </c>
      <c r="C19" s="913"/>
    </row>
    <row r="20" spans="1:3">
      <c r="A20" s="149" t="s">
        <v>106</v>
      </c>
      <c r="B20" s="241">
        <f>'Skattekompl data'!G137</f>
        <v>1237821.47</v>
      </c>
      <c r="C20" s="913"/>
    </row>
    <row r="21" spans="1:3">
      <c r="A21" s="149" t="s">
        <v>107</v>
      </c>
      <c r="B21" s="241">
        <f>'Skattekompl data'!G138</f>
        <v>727979.14</v>
      </c>
      <c r="C21" s="913"/>
    </row>
    <row r="22" spans="1:3">
      <c r="A22" s="149" t="s">
        <v>108</v>
      </c>
      <c r="B22" s="241">
        <f>'Skattekompl data'!G139</f>
        <v>547136.74</v>
      </c>
      <c r="C22" s="913"/>
    </row>
    <row r="23" spans="1:3">
      <c r="A23" s="208" t="s">
        <v>109</v>
      </c>
      <c r="B23" s="245">
        <f>SUM(B7:B22)</f>
        <v>17927767.649999999</v>
      </c>
      <c r="C23" s="876"/>
    </row>
    <row r="26" spans="1:3">
      <c r="A26" s="86"/>
      <c r="B26" s="876"/>
      <c r="C26" s="876"/>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4"/>
  <sheetViews>
    <sheetView workbookViewId="0">
      <selection activeCell="M33" sqref="M33"/>
    </sheetView>
  </sheetViews>
  <sheetFormatPr defaultRowHeight="15"/>
  <cols>
    <col min="1" max="1" width="35.21875" customWidth="1"/>
    <col min="3" max="3" width="11.33203125" bestFit="1" customWidth="1"/>
    <col min="6" max="7" width="11.33203125" bestFit="1" customWidth="1"/>
  </cols>
  <sheetData>
    <row r="1" spans="1:10" ht="15.75">
      <c r="A1" s="11" t="s">
        <v>215</v>
      </c>
      <c r="C1" s="386" t="s">
        <v>112</v>
      </c>
    </row>
    <row r="4" spans="1:10" ht="15.75">
      <c r="A4" s="87" t="s">
        <v>216</v>
      </c>
      <c r="B4" s="746">
        <v>2024</v>
      </c>
      <c r="C4" s="747" t="s">
        <v>217</v>
      </c>
      <c r="I4" s="523"/>
      <c r="J4" s="523"/>
    </row>
    <row r="5" spans="1:10" ht="15.75">
      <c r="A5" s="876" t="s">
        <v>59</v>
      </c>
      <c r="B5" s="26">
        <v>16920146</v>
      </c>
      <c r="C5" s="882">
        <f>'Lsandelar totalt'!B26</f>
        <v>17927767.649999999</v>
      </c>
      <c r="I5" s="2"/>
      <c r="J5" s="2"/>
    </row>
    <row r="6" spans="1:10" ht="15.75">
      <c r="A6" s="876" t="s">
        <v>218</v>
      </c>
      <c r="B6" s="26">
        <v>13933288</v>
      </c>
      <c r="C6" s="882">
        <f>'Lsandelar totalt'!C26+'Lsandelar totalt'!D26+'Lsandelar totalt'!E26+'Lsandelar totalt'!G26+'Lsandelar totalt'!F26</f>
        <v>14813739.08794</v>
      </c>
      <c r="D6" s="882"/>
      <c r="I6" s="357"/>
    </row>
    <row r="7" spans="1:10" ht="15.75">
      <c r="A7" s="876" t="s">
        <v>219</v>
      </c>
      <c r="B7" s="26">
        <v>9759053</v>
      </c>
      <c r="C7" s="882">
        <f>'Lsandelar totalt'!H26+'Lsandelar totalt'!I26</f>
        <v>10516850.310000002</v>
      </c>
    </row>
    <row r="8" spans="1:10" ht="15.75">
      <c r="A8" s="876" t="s">
        <v>62</v>
      </c>
      <c r="B8" s="26">
        <v>519928</v>
      </c>
      <c r="C8" s="882">
        <f>'Lsandelar totalt'!J26+'Lsandelar totalt'!K26</f>
        <v>550379.39</v>
      </c>
    </row>
    <row r="9" spans="1:10" ht="15.75">
      <c r="A9" s="876"/>
      <c r="B9" s="732"/>
      <c r="C9" s="882"/>
    </row>
    <row r="10" spans="1:10" ht="15.75">
      <c r="A10" s="891"/>
      <c r="B10" s="733"/>
      <c r="C10" s="888"/>
    </row>
    <row r="11" spans="1:10" ht="15.75">
      <c r="A11" s="4" t="s">
        <v>72</v>
      </c>
      <c r="B11" s="27">
        <v>41132415</v>
      </c>
      <c r="C11" s="14">
        <f>SUM(C5:C10)</f>
        <v>43808736.437940001</v>
      </c>
    </row>
    <row r="13" spans="1:10" ht="15.75">
      <c r="A13" s="876"/>
      <c r="B13" s="876"/>
      <c r="C13" s="876"/>
    </row>
    <row r="14" spans="1:10" ht="15.75">
      <c r="A14" s="876"/>
      <c r="B14" s="876"/>
      <c r="C14" s="876"/>
    </row>
    <row r="15" spans="1:10" ht="15.75">
      <c r="A15" s="876"/>
      <c r="B15" s="876"/>
      <c r="C15" s="876"/>
    </row>
    <row r="16" spans="1:10" ht="15.75">
      <c r="A16" s="87" t="s">
        <v>220</v>
      </c>
      <c r="B16" s="747" t="s">
        <v>221</v>
      </c>
      <c r="C16" s="747" t="s">
        <v>217</v>
      </c>
      <c r="D16" s="458" t="s">
        <v>222</v>
      </c>
      <c r="E16" s="458"/>
    </row>
    <row r="17" spans="1:4" ht="15.75">
      <c r="A17" s="876" t="s">
        <v>223</v>
      </c>
      <c r="B17" s="882">
        <v>5000000.0199999996</v>
      </c>
      <c r="C17" s="497">
        <f>'Kompensationer år 2025'!D212+'Kompensationer år 2025'!E212</f>
        <v>4999999.9999999981</v>
      </c>
      <c r="D17" s="355"/>
    </row>
    <row r="18" spans="1:4" ht="15.75">
      <c r="A18" s="876" t="s">
        <v>224</v>
      </c>
      <c r="B18" s="882">
        <v>3980474</v>
      </c>
      <c r="C18" s="497">
        <f>'Kompensationer år 2025'!G212</f>
        <v>4100000</v>
      </c>
    </row>
    <row r="19" spans="1:4" ht="15.75">
      <c r="A19" s="876" t="s">
        <v>225</v>
      </c>
      <c r="B19" s="882">
        <v>0</v>
      </c>
      <c r="C19" s="882">
        <v>0</v>
      </c>
    </row>
    <row r="20" spans="1:4" ht="15.75">
      <c r="A20" s="891" t="s">
        <v>226</v>
      </c>
      <c r="B20" s="888">
        <v>0</v>
      </c>
      <c r="C20" s="891">
        <v>0</v>
      </c>
    </row>
    <row r="21" spans="1:4" ht="15.75">
      <c r="A21" s="4" t="s">
        <v>72</v>
      </c>
      <c r="B21" s="14">
        <v>8980474.0199999996</v>
      </c>
      <c r="C21" s="14">
        <f>SUM(C17:C20)</f>
        <v>9099999.9999999981</v>
      </c>
    </row>
    <row r="22" spans="1:4" ht="15.75">
      <c r="A22" s="876"/>
      <c r="B22" s="876"/>
      <c r="C22" s="876"/>
    </row>
    <row r="24" spans="1:4" ht="15.75">
      <c r="A24" s="87" t="s">
        <v>215</v>
      </c>
      <c r="B24" s="789" t="s">
        <v>221</v>
      </c>
      <c r="C24" s="89" t="s">
        <v>217</v>
      </c>
    </row>
    <row r="25" spans="1:4" ht="15.75">
      <c r="A25" s="4" t="s">
        <v>72</v>
      </c>
      <c r="B25" s="882">
        <f>B11+B21</f>
        <v>50112889.019999996</v>
      </c>
      <c r="C25" s="882">
        <f>C11+C21</f>
        <v>52908736.437940001</v>
      </c>
    </row>
    <row r="46" spans="1:18" ht="30">
      <c r="A46" s="87" t="s">
        <v>227</v>
      </c>
      <c r="B46" s="89"/>
      <c r="C46" s="89"/>
      <c r="F46" s="87" t="s">
        <v>228</v>
      </c>
      <c r="G46" s="89" t="s">
        <v>229</v>
      </c>
      <c r="H46" s="89" t="s">
        <v>230</v>
      </c>
      <c r="K46" s="87" t="s">
        <v>231</v>
      </c>
      <c r="L46" s="89"/>
      <c r="M46" s="89"/>
      <c r="P46" s="87" t="s">
        <v>232</v>
      </c>
      <c r="Q46" s="89"/>
      <c r="R46" s="89"/>
    </row>
    <row r="47" spans="1:18" ht="15.75">
      <c r="A47" s="4"/>
      <c r="B47" s="882" t="s">
        <v>233</v>
      </c>
      <c r="C47" s="882"/>
      <c r="F47" s="4"/>
      <c r="G47" s="882" t="s">
        <v>233</v>
      </c>
      <c r="H47" s="882"/>
    </row>
    <row r="63" spans="1:18" ht="15.75">
      <c r="A63" s="87" t="s">
        <v>234</v>
      </c>
      <c r="B63" s="89"/>
      <c r="C63" s="89"/>
      <c r="F63" s="87" t="s">
        <v>235</v>
      </c>
      <c r="G63" s="89"/>
      <c r="H63" s="89"/>
      <c r="K63" s="87" t="s">
        <v>235</v>
      </c>
      <c r="L63" s="89"/>
      <c r="M63" s="89"/>
      <c r="P63" s="87" t="s">
        <v>235</v>
      </c>
      <c r="Q63" s="89"/>
      <c r="R63" s="89"/>
    </row>
    <row r="64" spans="1:18" ht="15.75">
      <c r="B64" s="882" t="s">
        <v>233</v>
      </c>
    </row>
  </sheetData>
  <phoneticPr fontId="99" type="noConversion"/>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workbookViewId="0">
      <selection activeCell="J31" sqref="J31"/>
    </sheetView>
  </sheetViews>
  <sheetFormatPr defaultRowHeight="15"/>
  <cols>
    <col min="1" max="4" width="15.5546875" customWidth="1"/>
    <col min="9" max="9" width="9.109375" bestFit="1" customWidth="1"/>
    <col min="10" max="10" width="9.44140625" bestFit="1" customWidth="1"/>
  </cols>
  <sheetData>
    <row r="1" spans="1:18" ht="15.75">
      <c r="A1" s="11" t="s">
        <v>236</v>
      </c>
    </row>
    <row r="2" spans="1:18" ht="15.75" customHeight="1"/>
    <row r="3" spans="1:18" ht="15.75">
      <c r="A3" s="82" t="s">
        <v>74</v>
      </c>
    </row>
    <row r="4" spans="1:18" ht="15.75">
      <c r="A4" s="82"/>
    </row>
    <row r="5" spans="1:18" ht="48.75" customHeight="1">
      <c r="A5" s="87"/>
      <c r="B5" s="87" t="s">
        <v>237</v>
      </c>
      <c r="C5" s="87" t="s">
        <v>238</v>
      </c>
      <c r="D5" s="87" t="s">
        <v>239</v>
      </c>
      <c r="E5" s="87" t="s">
        <v>240</v>
      </c>
      <c r="G5" s="87" t="s">
        <v>4</v>
      </c>
      <c r="H5" s="87" t="s">
        <v>241</v>
      </c>
      <c r="I5" s="87" t="s">
        <v>242</v>
      </c>
      <c r="K5" s="87" t="s">
        <v>243</v>
      </c>
      <c r="L5" s="87" t="s">
        <v>244</v>
      </c>
      <c r="M5" s="87" t="s">
        <v>245</v>
      </c>
      <c r="O5" s="87"/>
      <c r="R5" s="87" t="s">
        <v>246</v>
      </c>
    </row>
    <row r="6" spans="1:18" ht="18.75" customHeight="1">
      <c r="A6" s="326" t="s">
        <v>93</v>
      </c>
      <c r="B6" s="892">
        <f>'Lsandelar totalt'!O7</f>
        <v>702761.52928000002</v>
      </c>
      <c r="C6" s="327">
        <f>'Lsandelar totalt'!O7/Invånare!B6</f>
        <v>1611.8383699082569</v>
      </c>
      <c r="D6" s="893">
        <f>'Lsandelar totalt'!O7/'Lsandelar totalt'!$O$26</f>
        <v>1.7832533531635174E-2</v>
      </c>
      <c r="E6" s="893">
        <f>D6</f>
        <v>1.7832533531635174E-2</v>
      </c>
      <c r="G6" s="894">
        <f>Invånare!B6</f>
        <v>436</v>
      </c>
      <c r="H6" s="895">
        <f>R6*1000/G6</f>
        <v>6750</v>
      </c>
      <c r="I6" s="895">
        <f>('Skattekompl data'!F9+'Skattekompl data'!F51)/G6</f>
        <v>4757.1665060085006</v>
      </c>
      <c r="J6" s="420"/>
      <c r="K6" s="893">
        <f>Invånare!B6/Invånare!$B$22</f>
        <v>1.4275891424642284E-2</v>
      </c>
      <c r="L6" s="893">
        <f>R6/$R$22</f>
        <v>1.9184636645719799E-2</v>
      </c>
      <c r="M6" s="893">
        <f>('Skattekompl data'!F9+'Skattekompl data'!F51)/('Skattekompl data'!$F$25+'Skattekompl data'!$F$67)</f>
        <v>1.7428324588910266E-2</v>
      </c>
      <c r="O6" s="895"/>
      <c r="R6" s="894">
        <v>2943</v>
      </c>
    </row>
    <row r="7" spans="1:18" ht="18.75" customHeight="1">
      <c r="A7" s="326" t="s">
        <v>94</v>
      </c>
      <c r="B7" s="892">
        <f>'Lsandelar totalt'!O8</f>
        <v>2131621.2602200001</v>
      </c>
      <c r="C7" s="327">
        <f>'Lsandelar totalt'!O8/Invånare!B7</f>
        <v>2262.86757985138</v>
      </c>
      <c r="D7" s="893">
        <f>'Lsandelar totalt'!O8/'Lsandelar totalt'!$O$26</f>
        <v>5.4089767319170437E-2</v>
      </c>
      <c r="E7" s="893">
        <f>D7+D6</f>
        <v>7.1922300850805615E-2</v>
      </c>
      <c r="G7" s="894">
        <f>Invånare!B7</f>
        <v>942</v>
      </c>
      <c r="H7" s="895">
        <f t="shared" ref="H7:H22" si="0">R7*1000/G7</f>
        <v>5883.2271762208065</v>
      </c>
      <c r="I7" s="895">
        <f>('Skattekompl data'!F10+'Skattekompl data'!F52)/G7</f>
        <v>3317.3978346567483</v>
      </c>
      <c r="K7" s="893">
        <f>Invånare!B7/Invånare!$B$22</f>
        <v>3.0843783766084935E-2</v>
      </c>
      <c r="L7" s="893">
        <f t="shared" ref="L7:L21" si="1">R7/$R$22</f>
        <v>3.6126828505123727E-2</v>
      </c>
      <c r="M7" s="893">
        <f>('Skattekompl data'!F10+'Skattekompl data'!F52)/('Skattekompl data'!$F$25+'Skattekompl data'!$F$67)</f>
        <v>2.625846033504271E-2</v>
      </c>
      <c r="O7" s="895"/>
      <c r="R7" s="894">
        <v>5542</v>
      </c>
    </row>
    <row r="8" spans="1:18" ht="18.75" customHeight="1">
      <c r="A8" s="326" t="s">
        <v>95</v>
      </c>
      <c r="B8" s="892">
        <f>'Lsandelar totalt'!O9</f>
        <v>4694374.6035599988</v>
      </c>
      <c r="C8" s="327">
        <f>'Lsandelar totalt'!O9/Invånare!B8</f>
        <v>1798.6109592183902</v>
      </c>
      <c r="D8" s="893">
        <f>'Lsandelar totalt'!O9/'Lsandelar totalt'!$O$26</f>
        <v>0.11911948654020132</v>
      </c>
      <c r="E8" s="893">
        <f>D8+E7</f>
        <v>0.19104178739100694</v>
      </c>
      <c r="G8" s="894">
        <f>Invånare!B8</f>
        <v>2610</v>
      </c>
      <c r="H8" s="895">
        <f t="shared" si="0"/>
        <v>5165.5172413793107</v>
      </c>
      <c r="I8" s="895">
        <f>('Skattekompl data'!F11+'Skattekompl data'!F53)/G8</f>
        <v>3774.247927838644</v>
      </c>
      <c r="K8" s="893">
        <f>Invånare!B8/Invånare!$B$22</f>
        <v>8.5458891326413669E-2</v>
      </c>
      <c r="L8" s="893">
        <f t="shared" si="1"/>
        <v>8.7885583166019132E-2</v>
      </c>
      <c r="M8" s="893">
        <f>('Skattekompl data'!F11+'Skattekompl data'!F53)/('Skattekompl data'!$F$25+'Skattekompl data'!$F$67)</f>
        <v>8.2773578390361396E-2</v>
      </c>
      <c r="O8" s="895"/>
      <c r="R8" s="894">
        <v>13482</v>
      </c>
    </row>
    <row r="9" spans="1:18" ht="18.75" customHeight="1">
      <c r="A9" s="326" t="s">
        <v>96</v>
      </c>
      <c r="B9" s="892">
        <f>'Lsandelar totalt'!O10</f>
        <v>1536969.7114799998</v>
      </c>
      <c r="C9" s="327">
        <f>'Lsandelar totalt'!O10/Invånare!B9</f>
        <v>3019.586859489194</v>
      </c>
      <c r="D9" s="893">
        <f>'Lsandelar totalt'!O10/'Lsandelar totalt'!$O$26</f>
        <v>3.9000518348172974E-2</v>
      </c>
      <c r="E9" s="893">
        <f t="shared" ref="E9:E19" si="2">D9+E8</f>
        <v>0.23004230573917991</v>
      </c>
      <c r="G9" s="894">
        <f>Invånare!B9</f>
        <v>509</v>
      </c>
      <c r="H9" s="895">
        <f t="shared" si="0"/>
        <v>7198.4282907662082</v>
      </c>
      <c r="I9" s="895">
        <f>('Skattekompl data'!F12+'Skattekompl data'!F54)/G9</f>
        <v>3240.4077669580674</v>
      </c>
      <c r="K9" s="893">
        <f>Invånare!B9/Invånare!$B$22</f>
        <v>1.6666120952162668E-2</v>
      </c>
      <c r="L9" s="893">
        <f t="shared" si="1"/>
        <v>2.3884644468201613E-2</v>
      </c>
      <c r="M9" s="893">
        <f>('Skattekompl data'!F12+'Skattekompl data'!F54)/('Skattekompl data'!$F$25+'Skattekompl data'!$F$67)</f>
        <v>1.385920264076732E-2</v>
      </c>
      <c r="O9" s="895"/>
      <c r="R9" s="894">
        <v>3664</v>
      </c>
    </row>
    <row r="10" spans="1:18" ht="18.75" customHeight="1">
      <c r="A10" s="326" t="s">
        <v>97</v>
      </c>
      <c r="B10" s="892">
        <f>'Lsandelar totalt'!O11</f>
        <v>1678133.97572</v>
      </c>
      <c r="C10" s="327">
        <f>'Lsandelar totalt'!O11/Invånare!B10</f>
        <v>3296.9233314734774</v>
      </c>
      <c r="D10" s="893">
        <f>'Lsandelar totalt'!O11/'Lsandelar totalt'!$O$26</f>
        <v>4.2582553463423913E-2</v>
      </c>
      <c r="E10" s="893">
        <f t="shared" si="2"/>
        <v>0.27262485920260382</v>
      </c>
      <c r="G10" s="894">
        <f>Invånare!B10</f>
        <v>509</v>
      </c>
      <c r="H10" s="895">
        <f t="shared" si="0"/>
        <v>6070.7269155206286</v>
      </c>
      <c r="I10" s="895">
        <f>('Skattekompl data'!F13+'Skattekompl data'!F55)/G10</f>
        <v>2571.6025610159268</v>
      </c>
      <c r="K10" s="893">
        <f>Invånare!B10/Invånare!$B$22</f>
        <v>1.6666120952162668E-2</v>
      </c>
      <c r="L10" s="893">
        <f t="shared" si="1"/>
        <v>2.0142890667779197E-2</v>
      </c>
      <c r="M10" s="893">
        <f>('Skattekompl data'!F13+'Skattekompl data'!F55)/('Skattekompl data'!$F$25+'Skattekompl data'!$F$67)</f>
        <v>1.0998727187379051E-2</v>
      </c>
      <c r="O10" s="895"/>
      <c r="R10" s="894">
        <v>3090</v>
      </c>
    </row>
    <row r="11" spans="1:18" ht="18.75" customHeight="1">
      <c r="A11" s="326" t="s">
        <v>98</v>
      </c>
      <c r="B11" s="892">
        <f>'Lsandelar totalt'!O12</f>
        <v>3543253.3641799996</v>
      </c>
      <c r="C11" s="327">
        <f>'Lsandelar totalt'!O12/Invånare!B11</f>
        <v>2152.6448142041309</v>
      </c>
      <c r="D11" s="893">
        <f>'Lsandelar totalt'!O12/'Lsandelar totalt'!$O$26</f>
        <v>8.9909851059368703E-2</v>
      </c>
      <c r="E11" s="893">
        <f t="shared" si="2"/>
        <v>0.36253471026197254</v>
      </c>
      <c r="G11" s="894">
        <f>Invånare!B11</f>
        <v>1646</v>
      </c>
      <c r="H11" s="895">
        <f t="shared" si="0"/>
        <v>4781.2879708383962</v>
      </c>
      <c r="I11" s="895">
        <f>('Skattekompl data'!F14+'Skattekompl data'!F56)/G11</f>
        <v>3210.8613417615588</v>
      </c>
      <c r="K11" s="893">
        <f>Invånare!B11/Invånare!$B$22</f>
        <v>5.3894764415048625E-2</v>
      </c>
      <c r="L11" s="893">
        <f t="shared" si="1"/>
        <v>5.130244322181951E-2</v>
      </c>
      <c r="M11" s="893">
        <f>('Skattekompl data'!F14+'Skattekompl data'!F56)/('Skattekompl data'!$F$25+'Skattekompl data'!$F$67)</f>
        <v>4.4409121312121887E-2</v>
      </c>
      <c r="O11" s="895"/>
      <c r="R11" s="894">
        <v>7870</v>
      </c>
    </row>
    <row r="12" spans="1:18" ht="18.75" customHeight="1">
      <c r="A12" s="326" t="s">
        <v>99</v>
      </c>
      <c r="B12" s="892">
        <f>'Lsandelar totalt'!O13</f>
        <v>6275896.3324399982</v>
      </c>
      <c r="C12" s="327">
        <f>'Lsandelar totalt'!O13/Invånare!B12</f>
        <v>1101.6142412568015</v>
      </c>
      <c r="D12" s="893">
        <f>'Lsandelar totalt'!O13/'Lsandelar totalt'!$O$26</f>
        <v>0.1592505097767131</v>
      </c>
      <c r="E12" s="893">
        <f t="shared" si="2"/>
        <v>0.52178522003868566</v>
      </c>
      <c r="G12" s="894">
        <f>Invånare!B12</f>
        <v>5697</v>
      </c>
      <c r="H12" s="895">
        <f t="shared" si="0"/>
        <v>3948.3938915218537</v>
      </c>
      <c r="I12" s="895">
        <f>('Skattekompl data'!F15+'Skattekompl data'!F57)/G12</f>
        <v>3751.474372561278</v>
      </c>
      <c r="K12" s="893">
        <f>Invånare!B12/Invånare!$B$22</f>
        <v>0.18653613175730985</v>
      </c>
      <c r="L12" s="893">
        <f t="shared" si="1"/>
        <v>0.14663242157961984</v>
      </c>
      <c r="M12" s="893">
        <f>('Skattekompl data'!F15+'Skattekompl data'!F57)/('Skattekompl data'!$F$25+'Skattekompl data'!$F$67)</f>
        <v>0.17958456269414014</v>
      </c>
      <c r="O12" s="895"/>
      <c r="R12" s="894">
        <v>22494</v>
      </c>
    </row>
    <row r="13" spans="1:18" ht="18.75" customHeight="1">
      <c r="A13" s="326" t="s">
        <v>100</v>
      </c>
      <c r="B13" s="892">
        <f>'Lsandelar totalt'!O14</f>
        <v>904720.77753999992</v>
      </c>
      <c r="C13" s="327">
        <f>'Lsandelar totalt'!O14/Invånare!B13</f>
        <v>3119.7268191034482</v>
      </c>
      <c r="D13" s="893">
        <f>'Lsandelar totalt'!O14/'Lsandelar totalt'!$O$26</f>
        <v>2.2957237882355781E-2</v>
      </c>
      <c r="E13" s="893">
        <f t="shared" si="2"/>
        <v>0.54474245792104148</v>
      </c>
      <c r="G13" s="894">
        <f>Invånare!B13</f>
        <v>290</v>
      </c>
      <c r="H13" s="895">
        <f t="shared" si="0"/>
        <v>6520.6896551724139</v>
      </c>
      <c r="I13" s="895">
        <f>('Skattekompl data'!F16+'Skattekompl data'!F58)/G13</f>
        <v>3973.0518450421955</v>
      </c>
      <c r="K13" s="893">
        <f>Invånare!B13/Invånare!$B$22</f>
        <v>9.4954323696015194E-3</v>
      </c>
      <c r="L13" s="893">
        <f t="shared" si="1"/>
        <v>1.2326927589893354E-2</v>
      </c>
      <c r="M13" s="893">
        <f>('Skattekompl data'!F16+'Skattekompl data'!F58)/('Skattekompl data'!$F$25+'Skattekompl data'!$F$67)</f>
        <v>9.6815084350650674E-3</v>
      </c>
      <c r="O13" s="895"/>
      <c r="R13" s="894">
        <v>1891</v>
      </c>
    </row>
    <row r="14" spans="1:18" ht="18.75" customHeight="1">
      <c r="A14" s="326" t="s">
        <v>101</v>
      </c>
      <c r="B14" s="892">
        <f>'Lsandelar totalt'!O15</f>
        <v>651990.53522000008</v>
      </c>
      <c r="C14" s="327">
        <f>'Lsandelar totalt'!O15/Invånare!B14</f>
        <v>2897.7357120888892</v>
      </c>
      <c r="D14" s="893">
        <f>'Lsandelar totalt'!O15/'Lsandelar totalt'!$O$26</f>
        <v>1.6544222466945872E-2</v>
      </c>
      <c r="E14" s="893">
        <f t="shared" si="2"/>
        <v>0.56128668038798735</v>
      </c>
      <c r="G14" s="894">
        <f>Invånare!B14</f>
        <v>225</v>
      </c>
      <c r="H14" s="895">
        <f t="shared" si="0"/>
        <v>6155.5555555555557</v>
      </c>
      <c r="I14" s="895">
        <f>('Skattekompl data'!F17+'Skattekompl data'!F59)/G14</f>
        <v>2851.3908066190338</v>
      </c>
      <c r="K14" s="893">
        <f>Invånare!B14/Invånare!$B$22</f>
        <v>7.3671458040011784E-3</v>
      </c>
      <c r="L14" s="893">
        <f t="shared" si="1"/>
        <v>9.0284477588589603E-3</v>
      </c>
      <c r="M14" s="893">
        <f>('Skattekompl data'!F17+'Skattekompl data'!F59)/('Skattekompl data'!$F$25+'Skattekompl data'!$F$67)</f>
        <v>5.3908849219718004E-3</v>
      </c>
      <c r="O14" s="895"/>
      <c r="R14" s="894">
        <v>1385</v>
      </c>
    </row>
    <row r="15" spans="1:18" ht="18.75" customHeight="1">
      <c r="A15" s="326" t="s">
        <v>102</v>
      </c>
      <c r="B15" s="892">
        <f>'Lsandelar totalt'!O16</f>
        <v>3304151.3393600001</v>
      </c>
      <c r="C15" s="327">
        <f>'Lsandelar totalt'!O16/Invånare!B15</f>
        <v>1553.4326936342266</v>
      </c>
      <c r="D15" s="893">
        <f>'Lsandelar totalt'!O16/'Lsandelar totalt'!$O$26</f>
        <v>8.3842650882015674E-2</v>
      </c>
      <c r="E15" s="893">
        <f t="shared" si="2"/>
        <v>0.64512933127000305</v>
      </c>
      <c r="G15" s="894">
        <f>Invånare!B15</f>
        <v>2127</v>
      </c>
      <c r="H15" s="895">
        <f t="shared" si="0"/>
        <v>4835.9191349318289</v>
      </c>
      <c r="I15" s="895">
        <f>('Skattekompl data'!F18+'Skattekompl data'!F60)/G15</f>
        <v>3691.6236668622864</v>
      </c>
      <c r="K15" s="893">
        <f>Invånare!B15/Invånare!$B$22</f>
        <v>6.9644085000491143E-2</v>
      </c>
      <c r="L15" s="893">
        <f t="shared" si="1"/>
        <v>6.7051706604782144E-2</v>
      </c>
      <c r="M15" s="893">
        <f>('Skattekompl data'!F18+'Skattekompl data'!F60)/('Skattekompl data'!$F$25+'Skattekompl data'!$F$67)</f>
        <v>6.5978997041552509E-2</v>
      </c>
      <c r="O15" s="895"/>
      <c r="R15" s="894">
        <v>10286</v>
      </c>
    </row>
    <row r="16" spans="1:18" ht="18.75" customHeight="1">
      <c r="A16" s="326" t="s">
        <v>103</v>
      </c>
      <c r="B16" s="892">
        <f>'Lsandelar totalt'!O17</f>
        <v>680816.52159999986</v>
      </c>
      <c r="C16" s="327">
        <f>'Lsandelar totalt'!O17/Invånare!B16</f>
        <v>1860.1544306010926</v>
      </c>
      <c r="D16" s="893">
        <f>'Lsandelar totalt'!O17/'Lsandelar totalt'!$O$26</f>
        <v>1.727568021937927E-2</v>
      </c>
      <c r="E16" s="893">
        <f t="shared" si="2"/>
        <v>0.66240501148938236</v>
      </c>
      <c r="G16" s="894">
        <f>Invånare!B16</f>
        <v>366</v>
      </c>
      <c r="H16" s="895">
        <f t="shared" si="0"/>
        <v>6049.1803278688521</v>
      </c>
      <c r="I16" s="895">
        <f>('Skattekompl data'!F19+'Skattekompl data'!F61)/G16</f>
        <v>3928.0257932316249</v>
      </c>
      <c r="K16" s="893">
        <f>Invånare!B16/Invånare!$B$22</f>
        <v>1.1983890507841917E-2</v>
      </c>
      <c r="L16" s="893">
        <f t="shared" si="1"/>
        <v>1.4432478944486455E-2</v>
      </c>
      <c r="M16" s="893">
        <f>('Skattekompl data'!F19+'Skattekompl data'!F61)/('Skattekompl data'!$F$25+'Skattekompl data'!$F$67)</f>
        <v>1.2080258128389214E-2</v>
      </c>
      <c r="O16" s="895"/>
      <c r="R16" s="894">
        <v>2214</v>
      </c>
    </row>
    <row r="17" spans="1:18" ht="18.75" customHeight="1">
      <c r="A17" s="326" t="s">
        <v>104</v>
      </c>
      <c r="B17" s="892">
        <f>'Lsandelar totalt'!O18</f>
        <v>2666104.3866999997</v>
      </c>
      <c r="C17" s="327">
        <f>'Lsandelar totalt'!O18/Invånare!B17</f>
        <v>1488.6121645449468</v>
      </c>
      <c r="D17" s="893">
        <f>'Lsandelar totalt'!O18/'Lsandelar totalt'!$O$26</f>
        <v>6.7652246023451212E-2</v>
      </c>
      <c r="E17" s="893">
        <f t="shared" si="2"/>
        <v>0.73005725751283357</v>
      </c>
      <c r="G17" s="894">
        <f>Invånare!B17</f>
        <v>1791</v>
      </c>
      <c r="H17" s="895">
        <f t="shared" si="0"/>
        <v>5471.8034617532103</v>
      </c>
      <c r="I17" s="895">
        <f>('Skattekompl data'!F21+'Skattekompl data'!F63)/G17</f>
        <v>3945.6361435060348</v>
      </c>
      <c r="K17" s="893">
        <f>Invånare!B17/Invånare!$B$22</f>
        <v>5.8642480599849382E-2</v>
      </c>
      <c r="L17" s="893">
        <f t="shared" si="1"/>
        <v>6.3883601470626578E-2</v>
      </c>
      <c r="M17" s="893">
        <f>('Skattekompl data'!F21+'Skattekompl data'!F63)/('Skattekompl data'!$F$25+'Skattekompl data'!$F$67)</f>
        <v>5.9379073517433149E-2</v>
      </c>
      <c r="O17" s="895"/>
      <c r="R17" s="894">
        <v>9800</v>
      </c>
    </row>
    <row r="18" spans="1:18" ht="18.75" customHeight="1">
      <c r="A18" s="326" t="s">
        <v>105</v>
      </c>
      <c r="B18" s="892">
        <f>'Lsandelar totalt'!O19</f>
        <v>402385.22405999998</v>
      </c>
      <c r="C18" s="327">
        <f>'Lsandelar totalt'!O19/Invånare!B18</f>
        <v>3499.0019483478259</v>
      </c>
      <c r="D18" s="893">
        <f>'Lsandelar totalt'!O19/'Lsandelar totalt'!$O$26</f>
        <v>1.0210502000637462E-2</v>
      </c>
      <c r="E18" s="893">
        <f t="shared" si="2"/>
        <v>0.74026775951347101</v>
      </c>
      <c r="G18" s="894">
        <f>Invånare!B18</f>
        <v>115</v>
      </c>
      <c r="H18" s="895">
        <f t="shared" si="0"/>
        <v>5469.565217391304</v>
      </c>
      <c r="I18" s="895">
        <f>('Skattekompl data'!F22+'Skattekompl data'!F64)/G18</f>
        <v>3340.2295082991732</v>
      </c>
      <c r="K18" s="893">
        <f>Invånare!B18/Invånare!$B$22</f>
        <v>3.7654300776006023E-3</v>
      </c>
      <c r="L18" s="893">
        <f t="shared" si="1"/>
        <v>4.100284216839196E-3</v>
      </c>
      <c r="M18" s="893">
        <f>('Skattekompl data'!F22+'Skattekompl data'!F64)/('Skattekompl data'!$F$25+'Skattekompl data'!$F$67)</f>
        <v>3.2277132623572584E-3</v>
      </c>
      <c r="O18" s="895"/>
      <c r="R18" s="894">
        <v>629</v>
      </c>
    </row>
    <row r="19" spans="1:18" ht="18.75" customHeight="1">
      <c r="A19" s="326" t="s">
        <v>106</v>
      </c>
      <c r="B19" s="892">
        <f>'Lsandelar totalt'!O20</f>
        <v>2178897.7264800002</v>
      </c>
      <c r="C19" s="327">
        <f>'Lsandelar totalt'!O20/Invånare!B19</f>
        <v>2189.8469612864324</v>
      </c>
      <c r="D19" s="893">
        <f>'Lsandelar totalt'!O20/'Lsandelar totalt'!$O$26</f>
        <v>5.5289404941199077E-2</v>
      </c>
      <c r="E19" s="893">
        <f t="shared" si="2"/>
        <v>0.79555716445467006</v>
      </c>
      <c r="G19" s="894">
        <f>Invånare!B19</f>
        <v>995</v>
      </c>
      <c r="H19" s="895">
        <f t="shared" si="0"/>
        <v>5571.859296482412</v>
      </c>
      <c r="I19" s="895">
        <f>('Skattekompl data'!F23+'Skattekompl data'!F65)/G19</f>
        <v>3597.806421985988</v>
      </c>
      <c r="K19" s="893">
        <f>Invånare!B19/Invånare!$B$22</f>
        <v>3.2579155888805215E-2</v>
      </c>
      <c r="L19" s="893">
        <f t="shared" si="1"/>
        <v>3.6139865974811607E-2</v>
      </c>
      <c r="M19" s="893">
        <f>('Skattekompl data'!F23+'Skattekompl data'!F65)/('Skattekompl data'!$F$25+'Skattekompl data'!$F$67)</f>
        <v>3.0080265930728368E-2</v>
      </c>
      <c r="O19" s="895"/>
      <c r="R19" s="894">
        <v>5544</v>
      </c>
    </row>
    <row r="20" spans="1:18" ht="18.75" customHeight="1">
      <c r="A20" s="326" t="s">
        <v>107</v>
      </c>
      <c r="B20" s="892">
        <f>'Lsandelar totalt'!O21</f>
        <v>1589149.3967599997</v>
      </c>
      <c r="C20" s="327">
        <f>'Lsandelar totalt'!O21/Invånare!B20</f>
        <v>3373.9902266666659</v>
      </c>
      <c r="D20" s="893">
        <f>'Lsandelar totalt'!O21/'Lsandelar totalt'!$O$26</f>
        <v>4.0324574871840518E-2</v>
      </c>
      <c r="E20" s="893">
        <f>D20+E19</f>
        <v>0.83588173932651055</v>
      </c>
      <c r="G20" s="894">
        <f>Invånare!B20</f>
        <v>471</v>
      </c>
      <c r="H20" s="895">
        <f t="shared" si="0"/>
        <v>6129.5116772823776</v>
      </c>
      <c r="I20" s="895">
        <f>('Skattekompl data'!F24+'Skattekompl data'!F66)/G20</f>
        <v>3080.378001971043</v>
      </c>
      <c r="K20" s="893">
        <f>Invånare!B20/Invånare!$B$22</f>
        <v>1.5421891883042467E-2</v>
      </c>
      <c r="L20" s="893">
        <f t="shared" si="1"/>
        <v>1.8819587494459077E-2</v>
      </c>
      <c r="M20" s="893">
        <f>('Skattekompl data'!F24+'Skattekompl data'!F66)/('Skattekompl data'!$F$25+'Skattekompl data'!$F$67)</f>
        <v>1.2191179293704463E-2</v>
      </c>
      <c r="O20" s="895"/>
      <c r="R20" s="894">
        <v>2887</v>
      </c>
    </row>
    <row r="21" spans="1:18" ht="18.75" customHeight="1" thickBot="1">
      <c r="A21" s="337" t="s">
        <v>108</v>
      </c>
      <c r="B21" s="896">
        <f>'Lsandelar totalt'!O22</f>
        <v>6467729.3133400008</v>
      </c>
      <c r="C21" s="338">
        <f>'Lsandelar totalt'!O22/Invånare!B21</f>
        <v>547.55581724856086</v>
      </c>
      <c r="D21" s="897">
        <f>'Lsandelar totalt'!O22/'Lsandelar totalt'!$O$26</f>
        <v>0.1641182606734897</v>
      </c>
      <c r="E21" s="897">
        <f>D21+E20</f>
        <v>1.0000000000000002</v>
      </c>
      <c r="G21" s="338">
        <f>Invånare!B21</f>
        <v>11812</v>
      </c>
      <c r="H21" s="338">
        <f t="shared" si="0"/>
        <v>5052.7429732475448</v>
      </c>
      <c r="I21" s="423">
        <f>('Skattekompl data'!F20+'Skattekompl data'!F62)/G21</f>
        <v>4298.8882851574144</v>
      </c>
      <c r="K21" s="422">
        <f>Invånare!B21/Invånare!$B$22</f>
        <v>0.3867587832749419</v>
      </c>
      <c r="L21" s="422">
        <f t="shared" si="1"/>
        <v>0.38905765169095979</v>
      </c>
      <c r="M21" s="422">
        <f>('Skattekompl data'!F20+'Skattekompl data'!F62)/('Skattekompl data'!$F$25+'Skattekompl data'!$F$67)</f>
        <v>0.42667814232007528</v>
      </c>
      <c r="O21" s="338"/>
      <c r="R21" s="338">
        <v>59683</v>
      </c>
    </row>
    <row r="22" spans="1:18" ht="18.75" customHeight="1">
      <c r="A22" s="334" t="s">
        <v>109</v>
      </c>
      <c r="B22" s="328">
        <f>SUM(B6:B21)</f>
        <v>39408955.997939989</v>
      </c>
      <c r="C22" s="335">
        <f>B22/G22</f>
        <v>1290.3623325346252</v>
      </c>
      <c r="D22" s="336">
        <f>('Lsandelar totalt'!O26-'Lsandelar totalt'!M25)/('Lsandelar totalt'!$O$26-'Lsandelar totalt'!M25)</f>
        <v>1</v>
      </c>
      <c r="E22" s="336"/>
      <c r="G22" s="894">
        <f>Invånare!B22</f>
        <v>30541</v>
      </c>
      <c r="H22" s="895">
        <f t="shared" si="0"/>
        <v>5022.8872662977637</v>
      </c>
      <c r="I22" s="895">
        <f>('Skattekompl data'!F67+'Skattekompl data'!F25)/G22</f>
        <v>3896.6908254586624</v>
      </c>
      <c r="K22" s="424">
        <f>SUM(K6:K21)</f>
        <v>0.99999999999999978</v>
      </c>
      <c r="L22" s="424">
        <f t="shared" ref="L22:M22" si="3">SUM(L6:L21)</f>
        <v>1</v>
      </c>
      <c r="M22" s="424">
        <f t="shared" si="3"/>
        <v>0.99999999999999989</v>
      </c>
      <c r="O22" s="895"/>
      <c r="R22" s="894">
        <v>153404</v>
      </c>
    </row>
    <row r="23" spans="1:18">
      <c r="R23" s="418" t="s">
        <v>247</v>
      </c>
    </row>
    <row r="25" spans="1:18">
      <c r="B25" s="2"/>
    </row>
    <row r="28" spans="1:18" ht="15.75">
      <c r="B28" s="421"/>
      <c r="C28" s="421"/>
      <c r="D28" s="421"/>
      <c r="E28" s="421"/>
      <c r="F28" s="421"/>
      <c r="G28" s="421"/>
      <c r="H28" s="421"/>
      <c r="I28" s="421"/>
      <c r="J28" s="421"/>
      <c r="K28" s="421"/>
      <c r="L28" s="421"/>
      <c r="M28" s="421"/>
      <c r="N28" s="421"/>
      <c r="O28" s="421"/>
      <c r="P28" s="421"/>
      <c r="Q28" s="421"/>
      <c r="R28" s="42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290"/>
  <sheetViews>
    <sheetView zoomScaleNormal="100" zoomScalePageLayoutView="110" workbookViewId="0">
      <selection activeCell="H25" sqref="H25"/>
    </sheetView>
  </sheetViews>
  <sheetFormatPr defaultColWidth="8.77734375" defaultRowHeight="15"/>
  <cols>
    <col min="1" max="2" width="12" style="359" customWidth="1"/>
    <col min="3" max="3" width="11.109375" style="359" bestFit="1" customWidth="1"/>
    <col min="4" max="4" width="10.109375" style="359" bestFit="1" customWidth="1"/>
    <col min="5" max="5" width="10.6640625" style="359" customWidth="1"/>
    <col min="6" max="6" width="10.5546875" style="359" bestFit="1" customWidth="1"/>
    <col min="7" max="7" width="13" style="359" bestFit="1" customWidth="1"/>
    <col min="8" max="8" width="10.77734375" style="359" bestFit="1" customWidth="1"/>
    <col min="9" max="9" width="10" style="359" bestFit="1" customWidth="1"/>
    <col min="10" max="10" width="10.77734375" style="359" bestFit="1" customWidth="1"/>
    <col min="11" max="11" width="10" style="359" bestFit="1" customWidth="1"/>
    <col min="12" max="12" width="10.44140625" style="359" customWidth="1"/>
    <col min="13" max="13" width="10.21875" style="359" customWidth="1"/>
    <col min="14" max="16" width="8.77734375" style="359"/>
    <col min="17" max="17" width="9.88671875" style="359" bestFit="1" customWidth="1"/>
    <col min="18" max="16384" width="8.77734375" style="359"/>
  </cols>
  <sheetData>
    <row r="1" spans="1:17" ht="15.75">
      <c r="A1" s="11" t="s">
        <v>325</v>
      </c>
      <c r="B1" s="876"/>
      <c r="C1" s="876"/>
      <c r="D1" s="876"/>
      <c r="E1" s="876"/>
      <c r="F1" s="876"/>
      <c r="G1" s="876"/>
      <c r="H1" s="876"/>
      <c r="I1" s="876"/>
      <c r="J1" s="876"/>
      <c r="K1" s="876"/>
      <c r="L1" s="876"/>
      <c r="M1" s="876"/>
      <c r="N1" s="876"/>
      <c r="O1" s="876"/>
      <c r="P1" s="876"/>
      <c r="Q1" s="876"/>
    </row>
    <row r="2" spans="1:17">
      <c r="A2" s="876" t="s">
        <v>326</v>
      </c>
      <c r="B2" s="876"/>
      <c r="C2" s="876"/>
      <c r="D2" s="876"/>
      <c r="E2" s="876"/>
      <c r="F2" s="16"/>
      <c r="G2" s="876"/>
      <c r="H2" s="876"/>
      <c r="I2" s="876"/>
      <c r="J2" s="876"/>
      <c r="K2" s="876"/>
      <c r="L2" s="876"/>
      <c r="M2" s="876"/>
      <c r="N2" s="876"/>
      <c r="O2" s="876"/>
      <c r="P2" s="876"/>
      <c r="Q2" s="876"/>
    </row>
    <row r="3" spans="1:17">
      <c r="A3" s="876"/>
      <c r="B3" s="876"/>
      <c r="C3" s="876"/>
      <c r="D3" s="876"/>
      <c r="E3" s="876"/>
      <c r="F3" s="16"/>
      <c r="G3" s="876"/>
      <c r="H3" s="876"/>
      <c r="I3" s="876"/>
      <c r="J3" s="876"/>
      <c r="K3" s="876"/>
      <c r="L3" s="876"/>
      <c r="M3" s="876"/>
      <c r="N3" s="876"/>
      <c r="O3" s="876"/>
      <c r="P3" s="876"/>
      <c r="Q3" s="876"/>
    </row>
    <row r="4" spans="1:17">
      <c r="A4" s="53" t="s">
        <v>328</v>
      </c>
      <c r="B4" s="85"/>
      <c r="C4" s="85"/>
      <c r="D4" s="85"/>
      <c r="E4" s="85"/>
      <c r="F4" s="85"/>
      <c r="G4" s="85"/>
      <c r="H4" s="85"/>
      <c r="I4" s="876"/>
      <c r="J4" s="876"/>
      <c r="K4" s="876"/>
      <c r="L4" s="876"/>
      <c r="M4" s="876"/>
      <c r="N4" s="876"/>
      <c r="O4" s="876"/>
      <c r="P4" s="876"/>
      <c r="Q4" s="876"/>
    </row>
    <row r="5" spans="1:17">
      <c r="A5" s="53" t="s">
        <v>329</v>
      </c>
      <c r="B5" s="85"/>
      <c r="C5" s="85"/>
      <c r="D5" s="85"/>
      <c r="E5" s="85"/>
      <c r="F5" s="370"/>
      <c r="G5" s="85"/>
      <c r="H5" s="85"/>
      <c r="I5" s="876"/>
      <c r="J5" s="876"/>
      <c r="K5" s="876"/>
      <c r="L5" s="876"/>
      <c r="M5" s="876"/>
      <c r="N5" s="876"/>
      <c r="O5" s="876"/>
      <c r="P5" s="876"/>
      <c r="Q5" s="876"/>
    </row>
    <row r="6" spans="1:17">
      <c r="A6" s="85"/>
      <c r="B6" s="85"/>
      <c r="C6" s="85"/>
      <c r="D6" s="85"/>
      <c r="E6" s="85"/>
      <c r="F6" s="85"/>
      <c r="G6" s="85"/>
      <c r="H6" s="85"/>
      <c r="I6" s="876"/>
      <c r="J6" s="876"/>
      <c r="K6" s="876"/>
      <c r="L6" s="876"/>
      <c r="M6" s="876"/>
      <c r="N6" s="876"/>
      <c r="O6" s="876"/>
      <c r="P6" s="876"/>
      <c r="Q6" s="876"/>
    </row>
    <row r="7" spans="1:17">
      <c r="A7" s="103" t="s">
        <v>330</v>
      </c>
      <c r="B7" s="360"/>
      <c r="C7" s="105"/>
      <c r="D7" s="105"/>
      <c r="E7" s="105"/>
      <c r="F7" s="484"/>
      <c r="G7" s="85"/>
      <c r="H7" s="438"/>
      <c r="I7" s="876"/>
      <c r="J7" s="876"/>
      <c r="K7" s="876"/>
      <c r="L7" s="876"/>
      <c r="M7" s="876"/>
      <c r="N7" s="876"/>
      <c r="O7" s="876"/>
      <c r="P7" s="876"/>
      <c r="Q7" s="876"/>
    </row>
    <row r="8" spans="1:17" ht="15.75">
      <c r="A8" s="103"/>
      <c r="B8" s="321">
        <v>2019</v>
      </c>
      <c r="C8" s="321">
        <v>2020</v>
      </c>
      <c r="D8" s="321">
        <v>2021</v>
      </c>
      <c r="E8" s="321">
        <v>2022</v>
      </c>
      <c r="F8" s="321">
        <v>2023</v>
      </c>
      <c r="G8" s="85"/>
      <c r="H8" s="438"/>
      <c r="I8"/>
      <c r="J8" s="104"/>
      <c r="K8" s="200"/>
      <c r="L8" s="200"/>
      <c r="M8" s="200"/>
      <c r="N8" s="200"/>
      <c r="O8" s="200"/>
      <c r="P8" s="442"/>
      <c r="Q8" s="442"/>
    </row>
    <row r="9" spans="1:17" ht="15.75">
      <c r="A9" s="104" t="s">
        <v>93</v>
      </c>
      <c r="B9" s="93">
        <v>1370857.21</v>
      </c>
      <c r="C9" s="93">
        <v>1534168.66</v>
      </c>
      <c r="D9" s="93">
        <v>1851233.38</v>
      </c>
      <c r="E9" s="23">
        <v>1836145.93</v>
      </c>
      <c r="F9" s="23">
        <v>1851171.11</v>
      </c>
      <c r="G9" s="911"/>
      <c r="H9" s="439"/>
      <c r="I9" s="440"/>
      <c r="J9" s="104"/>
      <c r="K9" s="93"/>
      <c r="L9" s="93"/>
      <c r="M9" s="93"/>
      <c r="N9" s="23"/>
      <c r="O9" s="23"/>
      <c r="P9" s="93"/>
      <c r="Q9" s="23"/>
    </row>
    <row r="10" spans="1:17" ht="15.75">
      <c r="A10" s="104" t="s">
        <v>94</v>
      </c>
      <c r="B10" s="93">
        <v>2645732.21</v>
      </c>
      <c r="C10" s="93">
        <v>2738690.15</v>
      </c>
      <c r="D10" s="93">
        <v>3015795.72</v>
      </c>
      <c r="E10" s="23">
        <v>3045650.73</v>
      </c>
      <c r="F10" s="23">
        <v>3062282.44</v>
      </c>
      <c r="G10" s="911"/>
      <c r="H10" s="439"/>
      <c r="I10" s="440"/>
      <c r="J10" s="104"/>
      <c r="K10" s="93"/>
      <c r="L10" s="93"/>
      <c r="M10" s="93"/>
      <c r="N10" s="23"/>
      <c r="O10" s="23"/>
      <c r="P10" s="93"/>
      <c r="Q10" s="23"/>
    </row>
    <row r="11" spans="1:17" ht="15.75">
      <c r="A11" s="104" t="s">
        <v>95</v>
      </c>
      <c r="B11" s="93">
        <v>8089630.9000000004</v>
      </c>
      <c r="C11" s="93">
        <v>8237998.2199999997</v>
      </c>
      <c r="D11" s="93">
        <v>8848344.6600000001</v>
      </c>
      <c r="E11" s="23">
        <v>9461355.2599999998</v>
      </c>
      <c r="F11" s="23">
        <v>9382873.6699999999</v>
      </c>
      <c r="G11" s="911"/>
      <c r="H11" s="439"/>
      <c r="I11" s="440"/>
      <c r="J11" s="104"/>
      <c r="K11" s="93"/>
      <c r="L11" s="93"/>
      <c r="M11" s="93"/>
      <c r="N11" s="23"/>
      <c r="O11" s="23"/>
      <c r="P11" s="93"/>
      <c r="Q11" s="23"/>
    </row>
    <row r="12" spans="1:17" ht="15.75">
      <c r="A12" s="104" t="s">
        <v>96</v>
      </c>
      <c r="B12" s="93">
        <v>1442134.35</v>
      </c>
      <c r="C12" s="93">
        <v>1450755.61</v>
      </c>
      <c r="D12" s="93">
        <v>1452235.45</v>
      </c>
      <c r="E12" s="23">
        <v>1446331.9</v>
      </c>
      <c r="F12" s="23">
        <v>1504885.5</v>
      </c>
      <c r="G12" s="911"/>
      <c r="H12" s="439"/>
      <c r="I12" s="440"/>
      <c r="J12" s="104"/>
      <c r="K12" s="93"/>
      <c r="L12" s="93"/>
      <c r="M12" s="93"/>
      <c r="N12" s="23"/>
      <c r="O12" s="23"/>
      <c r="P12" s="93"/>
      <c r="Q12" s="23"/>
    </row>
    <row r="13" spans="1:17" ht="15.75">
      <c r="A13" s="104" t="s">
        <v>97</v>
      </c>
      <c r="B13" s="93">
        <v>1135099.51</v>
      </c>
      <c r="C13" s="93">
        <v>1124655.55</v>
      </c>
      <c r="D13" s="93">
        <v>1200259.18</v>
      </c>
      <c r="E13" s="23">
        <v>1186684.1399999999</v>
      </c>
      <c r="F13" s="23">
        <v>1301325.8</v>
      </c>
      <c r="G13" s="911"/>
      <c r="H13" s="439"/>
      <c r="I13" s="440"/>
      <c r="J13" s="104"/>
      <c r="K13" s="93"/>
      <c r="L13" s="93"/>
      <c r="M13" s="93"/>
      <c r="N13" s="23"/>
      <c r="O13" s="23"/>
      <c r="P13" s="93"/>
      <c r="Q13" s="23"/>
    </row>
    <row r="14" spans="1:17" ht="15.75">
      <c r="A14" s="104" t="s">
        <v>98</v>
      </c>
      <c r="B14" s="93">
        <v>4125732.91</v>
      </c>
      <c r="C14" s="93">
        <v>4269604.12</v>
      </c>
      <c r="D14" s="93">
        <v>4648811.93</v>
      </c>
      <c r="E14" s="23">
        <v>4870721.57</v>
      </c>
      <c r="F14" s="23">
        <v>5026532.5599999996</v>
      </c>
      <c r="G14" s="911"/>
      <c r="H14" s="439"/>
      <c r="I14" s="440"/>
      <c r="J14" s="104"/>
      <c r="K14" s="93"/>
      <c r="L14" s="93"/>
      <c r="M14" s="93"/>
      <c r="N14" s="23"/>
      <c r="O14" s="23"/>
      <c r="P14" s="93"/>
      <c r="Q14" s="23"/>
    </row>
    <row r="15" spans="1:17" ht="15.75">
      <c r="A15" s="104" t="s">
        <v>99</v>
      </c>
      <c r="B15" s="93">
        <v>16319335.41</v>
      </c>
      <c r="C15" s="93">
        <v>17149949.43</v>
      </c>
      <c r="D15" s="93">
        <v>18091931.199999999</v>
      </c>
      <c r="E15" s="23">
        <v>19085359.780000001</v>
      </c>
      <c r="F15" s="23">
        <v>20100280.079999998</v>
      </c>
      <c r="G15" s="911"/>
      <c r="H15" s="439"/>
      <c r="I15" s="440"/>
      <c r="J15" s="104"/>
      <c r="K15" s="93"/>
      <c r="L15" s="93"/>
      <c r="M15" s="93"/>
      <c r="N15" s="23"/>
      <c r="O15" s="23"/>
      <c r="P15" s="93"/>
      <c r="Q15" s="23"/>
    </row>
    <row r="16" spans="1:17" ht="15.75">
      <c r="A16" s="104" t="s">
        <v>100</v>
      </c>
      <c r="B16" s="93">
        <v>1080511.8799999999</v>
      </c>
      <c r="C16" s="93">
        <v>1084547.94</v>
      </c>
      <c r="D16" s="93">
        <v>1100029.4099999999</v>
      </c>
      <c r="E16" s="23">
        <v>1136036.53</v>
      </c>
      <c r="F16" s="23">
        <v>1142549.6299999999</v>
      </c>
      <c r="G16" s="911"/>
      <c r="H16" s="439"/>
      <c r="I16" s="440"/>
      <c r="J16" s="104"/>
      <c r="K16" s="93"/>
      <c r="L16" s="93"/>
      <c r="M16" s="93"/>
      <c r="N16" s="23"/>
      <c r="O16" s="23"/>
      <c r="P16" s="93"/>
      <c r="Q16" s="23"/>
    </row>
    <row r="17" spans="1:20" ht="15.75">
      <c r="A17" s="104" t="s">
        <v>101</v>
      </c>
      <c r="B17" s="93">
        <v>697891.37</v>
      </c>
      <c r="C17" s="93">
        <v>682528.75</v>
      </c>
      <c r="D17" s="93">
        <v>809512.49</v>
      </c>
      <c r="E17" s="23">
        <v>667732.12</v>
      </c>
      <c r="F17" s="23">
        <v>626688.14</v>
      </c>
      <c r="G17" s="911"/>
      <c r="H17" s="439"/>
      <c r="I17" s="440"/>
      <c r="J17" s="104"/>
      <c r="K17" s="93"/>
      <c r="L17" s="93"/>
      <c r="M17" s="93"/>
      <c r="N17" s="23"/>
      <c r="O17" s="23"/>
      <c r="P17" s="93"/>
      <c r="Q17" s="23"/>
      <c r="R17" s="876"/>
      <c r="S17" s="876"/>
      <c r="T17" s="876"/>
    </row>
    <row r="18" spans="1:20" ht="15.75">
      <c r="A18" s="104" t="s">
        <v>102</v>
      </c>
      <c r="B18" s="93">
        <v>6206267.9900000002</v>
      </c>
      <c r="C18" s="93">
        <v>6537844.9900000002</v>
      </c>
      <c r="D18" s="93">
        <v>7106191.2999999998</v>
      </c>
      <c r="E18" s="23">
        <v>7489169.2800000003</v>
      </c>
      <c r="F18" s="23">
        <v>7740224.7800000003</v>
      </c>
      <c r="G18" s="911"/>
      <c r="H18" s="439"/>
      <c r="I18" s="440"/>
      <c r="J18" s="104"/>
      <c r="K18" s="93"/>
      <c r="L18" s="93"/>
      <c r="M18" s="93"/>
      <c r="N18" s="23"/>
      <c r="O18" s="23"/>
      <c r="P18" s="93"/>
      <c r="Q18" s="23"/>
      <c r="R18" s="876"/>
      <c r="S18" s="876"/>
      <c r="T18" s="876"/>
    </row>
    <row r="19" spans="1:20" ht="15.75">
      <c r="A19" s="104" t="s">
        <v>103</v>
      </c>
      <c r="B19" s="93">
        <v>1326547.3700000001</v>
      </c>
      <c r="C19" s="93">
        <v>1309894.98</v>
      </c>
      <c r="D19" s="93">
        <v>1407273.38</v>
      </c>
      <c r="E19" s="23">
        <v>1451424.53</v>
      </c>
      <c r="F19" s="23">
        <v>1394543.77</v>
      </c>
      <c r="G19" s="911"/>
      <c r="H19" s="439"/>
      <c r="I19" s="440"/>
      <c r="J19" s="104"/>
      <c r="K19" s="93"/>
      <c r="L19" s="93"/>
      <c r="M19" s="93"/>
      <c r="N19" s="23"/>
      <c r="O19" s="23"/>
      <c r="P19" s="93"/>
      <c r="Q19" s="23"/>
      <c r="R19" s="876"/>
      <c r="S19" s="876"/>
      <c r="T19" s="876"/>
    </row>
    <row r="20" spans="1:20" ht="15.75">
      <c r="A20" s="104" t="s">
        <v>108</v>
      </c>
      <c r="B20" s="93">
        <v>41617727.32</v>
      </c>
      <c r="C20" s="93">
        <v>41669610.390000001</v>
      </c>
      <c r="D20" s="93">
        <v>43343000.359999999</v>
      </c>
      <c r="E20" s="23">
        <v>44015938.979999997</v>
      </c>
      <c r="F20" s="23">
        <v>45623287.359999999</v>
      </c>
      <c r="G20" s="911"/>
      <c r="H20" s="439"/>
      <c r="I20" s="440"/>
      <c r="J20" s="104"/>
      <c r="K20" s="93"/>
      <c r="L20" s="93"/>
      <c r="M20" s="93"/>
      <c r="N20" s="23"/>
      <c r="O20" s="23"/>
      <c r="P20" s="93"/>
      <c r="Q20" s="23"/>
      <c r="R20" s="876"/>
      <c r="S20" s="876"/>
      <c r="T20" s="876"/>
    </row>
    <row r="21" spans="1:20" ht="15.75">
      <c r="A21" s="104" t="s">
        <v>104</v>
      </c>
      <c r="B21" s="93">
        <v>5283920.41</v>
      </c>
      <c r="C21" s="93">
        <v>5591228.9199999999</v>
      </c>
      <c r="D21" s="93">
        <v>5772827.6399999997</v>
      </c>
      <c r="E21" s="23">
        <v>5982089.4699999997</v>
      </c>
      <c r="F21" s="23">
        <v>5931345.5199999996</v>
      </c>
      <c r="G21" s="911"/>
      <c r="H21" s="439"/>
      <c r="I21" s="440"/>
      <c r="J21" s="104"/>
      <c r="K21" s="93"/>
      <c r="L21" s="93"/>
      <c r="M21" s="93"/>
      <c r="N21" s="23"/>
      <c r="O21" s="23"/>
      <c r="P21" s="93"/>
      <c r="Q21" s="23"/>
      <c r="R21" s="876"/>
      <c r="S21" s="876"/>
      <c r="T21" s="876"/>
    </row>
    <row r="22" spans="1:20" ht="15.75">
      <c r="A22" s="104" t="s">
        <v>105</v>
      </c>
      <c r="B22" s="93">
        <v>311761.05</v>
      </c>
      <c r="C22" s="93">
        <v>311876.52</v>
      </c>
      <c r="D22" s="93">
        <v>353900.42</v>
      </c>
      <c r="E22" s="23">
        <v>339065.19</v>
      </c>
      <c r="F22" s="23">
        <v>370987.54</v>
      </c>
      <c r="G22" s="911"/>
      <c r="H22" s="439"/>
      <c r="I22" s="440"/>
      <c r="J22" s="104"/>
      <c r="K22" s="93"/>
      <c r="L22" s="93"/>
      <c r="M22" s="93"/>
      <c r="N22" s="23"/>
      <c r="O22" s="23"/>
      <c r="P22" s="93"/>
      <c r="Q22" s="23"/>
      <c r="R22" s="876"/>
      <c r="S22" s="876"/>
      <c r="T22" s="876"/>
    </row>
    <row r="23" spans="1:20" ht="15.75">
      <c r="A23" s="104" t="s">
        <v>106</v>
      </c>
      <c r="B23" s="93">
        <v>3306398.09</v>
      </c>
      <c r="C23" s="93">
        <v>3402719.87</v>
      </c>
      <c r="D23" s="93">
        <v>3526558.97</v>
      </c>
      <c r="E23" s="23">
        <v>3580054.3</v>
      </c>
      <c r="F23" s="23">
        <v>3536345.72</v>
      </c>
      <c r="G23" s="911"/>
      <c r="H23" s="439"/>
      <c r="I23" s="440"/>
      <c r="J23" s="104"/>
      <c r="K23" s="93"/>
      <c r="L23" s="93"/>
      <c r="M23" s="93"/>
      <c r="N23" s="23"/>
      <c r="O23" s="23"/>
      <c r="P23" s="93"/>
      <c r="Q23" s="23"/>
      <c r="R23" s="876"/>
      <c r="S23" s="876"/>
      <c r="T23" s="876"/>
    </row>
    <row r="24" spans="1:20" ht="15.75">
      <c r="A24" s="103" t="s">
        <v>107</v>
      </c>
      <c r="B24" s="94">
        <v>1317087.79</v>
      </c>
      <c r="C24" s="94">
        <v>1308980.8</v>
      </c>
      <c r="D24" s="94">
        <v>1332748.55</v>
      </c>
      <c r="E24" s="23">
        <v>1409084.38</v>
      </c>
      <c r="F24" s="23">
        <v>1418547.23</v>
      </c>
      <c r="G24" s="911"/>
      <c r="H24" s="439"/>
      <c r="I24" s="440"/>
      <c r="J24" s="104"/>
      <c r="K24" s="93"/>
      <c r="L24" s="93"/>
      <c r="M24" s="93"/>
      <c r="N24" s="23"/>
      <c r="O24" s="23"/>
      <c r="P24" s="93"/>
      <c r="Q24" s="23"/>
      <c r="R24" s="876"/>
      <c r="S24" s="876"/>
      <c r="T24" s="876"/>
    </row>
    <row r="25" spans="1:20">
      <c r="A25" s="104" t="s">
        <v>109</v>
      </c>
      <c r="B25" s="97">
        <v>96276635.770000011</v>
      </c>
      <c r="C25" s="97">
        <v>98405054.899999991</v>
      </c>
      <c r="D25" s="97">
        <v>103860654.03999999</v>
      </c>
      <c r="E25" s="249">
        <v>107002844.08999999</v>
      </c>
      <c r="F25" s="249">
        <f>SUM(F9:F24)</f>
        <v>110013870.85000001</v>
      </c>
      <c r="G25" s="85"/>
      <c r="H25" s="441"/>
      <c r="I25" s="876"/>
      <c r="J25" s="104"/>
      <c r="K25" s="97"/>
      <c r="L25" s="97"/>
      <c r="M25" s="97"/>
      <c r="N25" s="97"/>
      <c r="O25" s="97"/>
      <c r="P25" s="97"/>
      <c r="Q25" s="97"/>
      <c r="R25" s="876"/>
      <c r="S25" s="876"/>
      <c r="T25" s="876"/>
    </row>
    <row r="26" spans="1:20" ht="15.75">
      <c r="A26" s="409" t="s">
        <v>331</v>
      </c>
      <c r="B26" s="85"/>
      <c r="C26" s="317">
        <v>45603</v>
      </c>
      <c r="D26" s="85"/>
      <c r="E26" s="85"/>
      <c r="F26" s="386"/>
      <c r="G26" s="85"/>
      <c r="H26" s="85"/>
      <c r="I26" s="876"/>
      <c r="J26" s="876"/>
      <c r="K26" s="876"/>
      <c r="L26" s="876"/>
      <c r="M26" s="876"/>
      <c r="N26" s="876"/>
      <c r="O26" s="876"/>
      <c r="P26" s="876"/>
      <c r="Q26" s="876"/>
      <c r="R26" s="876"/>
      <c r="S26" s="876"/>
      <c r="T26" s="876"/>
    </row>
    <row r="27" spans="1:20">
      <c r="A27" s="81"/>
      <c r="B27" s="85"/>
      <c r="C27" s="85"/>
      <c r="D27" s="85"/>
      <c r="E27" s="85"/>
      <c r="F27" s="85"/>
      <c r="G27" s="85"/>
      <c r="H27" s="85"/>
      <c r="I27" s="876"/>
      <c r="J27" s="876"/>
      <c r="K27" s="876"/>
      <c r="L27" s="876"/>
      <c r="M27" s="876"/>
      <c r="N27" s="876"/>
      <c r="O27" s="876"/>
      <c r="P27" s="876"/>
      <c r="Q27" s="876"/>
      <c r="R27" s="876"/>
      <c r="S27" s="876"/>
      <c r="T27" s="876"/>
    </row>
    <row r="28" spans="1:20">
      <c r="A28" s="103" t="s">
        <v>332</v>
      </c>
      <c r="B28" s="105"/>
      <c r="C28" s="105"/>
      <c r="D28" s="105"/>
      <c r="E28" s="105"/>
      <c r="F28" s="105"/>
      <c r="G28" s="105"/>
      <c r="H28" s="370" t="s">
        <v>187</v>
      </c>
      <c r="I28" s="876"/>
      <c r="J28" s="876"/>
      <c r="K28" s="876"/>
      <c r="L28" s="876"/>
      <c r="M28" s="876"/>
      <c r="N28" s="876"/>
      <c r="O28" s="876"/>
      <c r="P28" s="914"/>
      <c r="Q28" s="876"/>
      <c r="R28" s="876"/>
      <c r="S28" s="876"/>
      <c r="T28" s="876"/>
    </row>
    <row r="29" spans="1:20" ht="15.75">
      <c r="A29" s="106" t="s">
        <v>333</v>
      </c>
      <c r="B29" s="106">
        <v>2019</v>
      </c>
      <c r="C29" s="106">
        <v>2020</v>
      </c>
      <c r="D29" s="106">
        <v>2021</v>
      </c>
      <c r="E29" s="106">
        <v>2022</v>
      </c>
      <c r="F29" s="106">
        <v>2023</v>
      </c>
      <c r="G29" s="259">
        <v>2024</v>
      </c>
      <c r="H29" s="394">
        <v>2025</v>
      </c>
      <c r="I29" s="299"/>
      <c r="J29" s="299"/>
      <c r="K29" s="876"/>
      <c r="L29" s="876"/>
      <c r="M29" s="876"/>
      <c r="N29" s="876"/>
      <c r="O29" s="876"/>
      <c r="P29" s="876"/>
      <c r="Q29" s="876"/>
      <c r="R29" s="876"/>
      <c r="S29" s="876"/>
      <c r="T29" s="876"/>
    </row>
    <row r="30" spans="1:20" ht="15.75">
      <c r="A30" s="104" t="s">
        <v>93</v>
      </c>
      <c r="B30" s="108">
        <v>0.16750000000000001</v>
      </c>
      <c r="C30" s="108">
        <v>0.16750000000000001</v>
      </c>
      <c r="D30" s="108">
        <v>0.17749999999999999</v>
      </c>
      <c r="E30" s="109">
        <v>0.17749999999999999</v>
      </c>
      <c r="F30" s="109">
        <v>0.17749999999999999</v>
      </c>
      <c r="G30" s="260">
        <v>0.17699999999999999</v>
      </c>
      <c r="H30" s="446">
        <v>0.17699999999999999</v>
      </c>
      <c r="I30" s="361"/>
      <c r="J30" s="299"/>
      <c r="K30" s="915"/>
      <c r="L30" s="876"/>
      <c r="M30" s="876"/>
      <c r="N30" s="876"/>
      <c r="O30" s="876"/>
      <c r="P30" s="876"/>
      <c r="Q30" s="446"/>
      <c r="R30" s="876"/>
      <c r="S30" s="916"/>
      <c r="T30" s="876"/>
    </row>
    <row r="31" spans="1:20" ht="15.75">
      <c r="A31" s="164" t="s">
        <v>94</v>
      </c>
      <c r="B31" s="108">
        <v>0.185</v>
      </c>
      <c r="C31" s="108">
        <v>0.185</v>
      </c>
      <c r="D31" s="108">
        <v>0.19</v>
      </c>
      <c r="E31" s="109">
        <v>0.19</v>
      </c>
      <c r="F31" s="109">
        <v>0.185</v>
      </c>
      <c r="G31" s="260">
        <v>0.185</v>
      </c>
      <c r="H31" s="446">
        <v>0.185</v>
      </c>
      <c r="I31" s="362"/>
      <c r="J31" s="299"/>
      <c r="K31" s="915"/>
      <c r="L31" s="876"/>
      <c r="M31" s="876"/>
      <c r="N31" s="876"/>
      <c r="O31" s="876"/>
      <c r="P31" s="876"/>
      <c r="Q31" s="446"/>
      <c r="R31" s="876"/>
      <c r="S31" s="916"/>
      <c r="T31" s="876"/>
    </row>
    <row r="32" spans="1:20" ht="15.75">
      <c r="A32" s="164" t="s">
        <v>95</v>
      </c>
      <c r="B32" s="108">
        <v>0.185</v>
      </c>
      <c r="C32" s="108">
        <v>0.185</v>
      </c>
      <c r="D32" s="108">
        <v>0.19500000000000001</v>
      </c>
      <c r="E32" s="109">
        <v>0.19500000000000001</v>
      </c>
      <c r="F32" s="109">
        <v>0.19500000000000001</v>
      </c>
      <c r="G32" s="260">
        <v>0.19500000000000001</v>
      </c>
      <c r="H32" s="446">
        <v>0.19500000000000001</v>
      </c>
      <c r="I32" s="362"/>
      <c r="J32" s="299"/>
      <c r="K32" s="915"/>
      <c r="L32" s="876"/>
      <c r="M32" s="876"/>
      <c r="N32" s="876"/>
      <c r="O32" s="876"/>
      <c r="P32" s="876"/>
      <c r="Q32" s="446"/>
      <c r="R32" s="876"/>
      <c r="S32" s="916"/>
      <c r="T32" s="876"/>
    </row>
    <row r="33" spans="1:20" ht="15.75">
      <c r="A33" s="164" t="s">
        <v>96</v>
      </c>
      <c r="B33" s="108">
        <v>0.17499999999999999</v>
      </c>
      <c r="C33" s="108">
        <v>0.17499999999999999</v>
      </c>
      <c r="D33" s="108">
        <v>0.17499999999999999</v>
      </c>
      <c r="E33" s="109">
        <v>0.17499999999999999</v>
      </c>
      <c r="F33" s="109">
        <v>0.17499999999999999</v>
      </c>
      <c r="G33" s="260">
        <v>0.185</v>
      </c>
      <c r="H33" s="446">
        <v>0.185</v>
      </c>
      <c r="I33" s="362"/>
      <c r="J33" s="299"/>
      <c r="K33" s="915"/>
      <c r="L33" s="876"/>
      <c r="M33" s="876"/>
      <c r="N33" s="876"/>
      <c r="O33" s="876"/>
      <c r="P33" s="876"/>
      <c r="Q33" s="446"/>
      <c r="R33" s="876"/>
      <c r="S33" s="916"/>
      <c r="T33" s="876"/>
    </row>
    <row r="34" spans="1:20" ht="15.75">
      <c r="A34" s="164" t="s">
        <v>97</v>
      </c>
      <c r="B34" s="108">
        <v>0.185</v>
      </c>
      <c r="C34" s="108">
        <v>0.185</v>
      </c>
      <c r="D34" s="108">
        <v>0.185</v>
      </c>
      <c r="E34" s="109">
        <v>0.185</v>
      </c>
      <c r="F34" s="109">
        <v>0.185</v>
      </c>
      <c r="G34" s="260">
        <v>0.185</v>
      </c>
      <c r="H34" s="446">
        <v>0.185</v>
      </c>
      <c r="I34" s="362"/>
      <c r="J34" s="299"/>
      <c r="K34" s="915"/>
      <c r="L34" s="876"/>
      <c r="M34" s="876"/>
      <c r="N34" s="876"/>
      <c r="O34" s="876"/>
      <c r="P34" s="876"/>
      <c r="Q34" s="446"/>
      <c r="R34" s="876"/>
      <c r="S34" s="916"/>
      <c r="T34" s="876"/>
    </row>
    <row r="35" spans="1:20" ht="15.75">
      <c r="A35" s="164" t="s">
        <v>98</v>
      </c>
      <c r="B35" s="108">
        <v>0.17249999999999999</v>
      </c>
      <c r="C35" s="108">
        <v>0.17249999999999999</v>
      </c>
      <c r="D35" s="108">
        <v>0.18</v>
      </c>
      <c r="E35" s="109">
        <v>0.18</v>
      </c>
      <c r="F35" s="109">
        <v>0.18</v>
      </c>
      <c r="G35" s="260">
        <v>0.18</v>
      </c>
      <c r="H35" s="446">
        <v>0.18</v>
      </c>
      <c r="I35" s="362"/>
      <c r="J35" s="299"/>
      <c r="K35" s="915"/>
      <c r="L35" s="876"/>
      <c r="M35" s="876"/>
      <c r="N35" s="876"/>
      <c r="O35" s="876"/>
      <c r="P35" s="876"/>
      <c r="Q35" s="446"/>
      <c r="R35" s="876"/>
      <c r="S35" s="916"/>
      <c r="T35" s="876"/>
    </row>
    <row r="36" spans="1:20" ht="15.75">
      <c r="A36" s="164" t="s">
        <v>99</v>
      </c>
      <c r="B36" s="108">
        <v>0.16500000000000001</v>
      </c>
      <c r="C36" s="108">
        <v>0.16500000000000001</v>
      </c>
      <c r="D36" s="108">
        <v>0.16500000000000001</v>
      </c>
      <c r="E36" s="109">
        <v>0.16500000000000001</v>
      </c>
      <c r="F36" s="109">
        <v>0.16500000000000001</v>
      </c>
      <c r="G36" s="260">
        <v>0.16500000000000001</v>
      </c>
      <c r="H36" s="446">
        <v>0.17499999999999999</v>
      </c>
      <c r="I36" s="362"/>
      <c r="J36" s="299"/>
      <c r="K36" s="915"/>
      <c r="L36" s="876"/>
      <c r="M36" s="876"/>
      <c r="N36" s="876"/>
      <c r="O36" s="876"/>
      <c r="P36" s="876"/>
      <c r="Q36" s="446"/>
      <c r="R36" s="876"/>
      <c r="S36" s="916"/>
      <c r="T36" s="876"/>
    </row>
    <row r="37" spans="1:20" ht="15.75">
      <c r="A37" s="164" t="s">
        <v>100</v>
      </c>
      <c r="B37" s="108">
        <v>0.185</v>
      </c>
      <c r="C37" s="108">
        <v>0.185</v>
      </c>
      <c r="D37" s="108">
        <v>0.185</v>
      </c>
      <c r="E37" s="109">
        <v>0.185</v>
      </c>
      <c r="F37" s="109">
        <v>0.185</v>
      </c>
      <c r="G37" s="260">
        <v>0.19</v>
      </c>
      <c r="H37" s="446">
        <v>0.19</v>
      </c>
      <c r="I37" s="362"/>
      <c r="J37" s="299"/>
      <c r="K37" s="915"/>
      <c r="L37" s="876"/>
      <c r="M37" s="876"/>
      <c r="N37" s="876"/>
      <c r="O37" s="876"/>
      <c r="P37" s="876"/>
      <c r="Q37" s="446"/>
      <c r="R37" s="876"/>
      <c r="S37" s="916"/>
      <c r="T37" s="876"/>
    </row>
    <row r="38" spans="1:20" ht="15.75">
      <c r="A38" s="164" t="s">
        <v>101</v>
      </c>
      <c r="B38" s="108">
        <v>0.19750000000000001</v>
      </c>
      <c r="C38" s="108">
        <v>0.19750000000000001</v>
      </c>
      <c r="D38" s="108">
        <v>0.19750000000000001</v>
      </c>
      <c r="E38" s="109">
        <v>0.19750000000000001</v>
      </c>
      <c r="F38" s="109">
        <v>0.19750000000000001</v>
      </c>
      <c r="G38" s="260">
        <v>0.19700000000000001</v>
      </c>
      <c r="H38" s="446">
        <v>0.19700000000000001</v>
      </c>
      <c r="I38" s="362"/>
      <c r="J38" s="299"/>
      <c r="K38" s="915"/>
      <c r="L38" s="876"/>
      <c r="M38" s="876"/>
      <c r="N38" s="876"/>
      <c r="O38" s="876"/>
      <c r="P38" s="876"/>
      <c r="Q38" s="446"/>
      <c r="R38" s="876"/>
      <c r="S38" s="916"/>
      <c r="T38" s="876"/>
    </row>
    <row r="39" spans="1:20" ht="15.75">
      <c r="A39" s="164" t="s">
        <v>102</v>
      </c>
      <c r="B39" s="108">
        <v>0.16750000000000001</v>
      </c>
      <c r="C39" s="108">
        <v>0.17</v>
      </c>
      <c r="D39" s="108">
        <v>0.17</v>
      </c>
      <c r="E39" s="109">
        <v>0.17499999999999999</v>
      </c>
      <c r="F39" s="109">
        <v>0.17499999999999999</v>
      </c>
      <c r="G39" s="260">
        <v>0.17499999999999999</v>
      </c>
      <c r="H39" s="446">
        <v>0.17699999999999999</v>
      </c>
      <c r="I39" s="362"/>
      <c r="J39" s="299"/>
      <c r="K39" s="915"/>
      <c r="L39" s="876"/>
      <c r="M39" s="876"/>
      <c r="N39" s="876"/>
      <c r="O39" s="876"/>
      <c r="P39" s="876"/>
      <c r="Q39" s="446"/>
      <c r="R39" s="876"/>
      <c r="S39" s="916"/>
      <c r="T39" s="876"/>
    </row>
    <row r="40" spans="1:20" ht="15.75">
      <c r="A40" s="164" t="s">
        <v>103</v>
      </c>
      <c r="B40" s="108">
        <v>0.19500000000000001</v>
      </c>
      <c r="C40" s="108">
        <v>0.19500000000000001</v>
      </c>
      <c r="D40" s="108">
        <v>0.19500000000000001</v>
      </c>
      <c r="E40" s="109">
        <v>0.19500000000000001</v>
      </c>
      <c r="F40" s="109">
        <v>0.19500000000000001</v>
      </c>
      <c r="G40" s="260">
        <v>0.19500000000000001</v>
      </c>
      <c r="H40" s="446">
        <v>0.19500000000000001</v>
      </c>
      <c r="I40" s="362"/>
      <c r="J40" s="299"/>
      <c r="K40" s="915"/>
      <c r="L40" s="876"/>
      <c r="M40" s="876"/>
      <c r="N40" s="876"/>
      <c r="O40" s="876"/>
      <c r="P40" s="876"/>
      <c r="Q40" s="446"/>
      <c r="R40" s="876"/>
      <c r="S40" s="916"/>
      <c r="T40" s="876"/>
    </row>
    <row r="41" spans="1:20" ht="15.75">
      <c r="A41" s="164" t="s">
        <v>104</v>
      </c>
      <c r="B41" s="108">
        <v>0.17249999999999999</v>
      </c>
      <c r="C41" s="108">
        <v>0.18</v>
      </c>
      <c r="D41" s="108">
        <v>0.185</v>
      </c>
      <c r="E41" s="109">
        <v>0.185</v>
      </c>
      <c r="F41" s="109">
        <v>0.1825</v>
      </c>
      <c r="G41" s="260">
        <v>0.185</v>
      </c>
      <c r="H41" s="446">
        <v>0.185</v>
      </c>
      <c r="I41" s="362"/>
      <c r="J41" s="299"/>
      <c r="K41" s="915"/>
      <c r="L41" s="876"/>
      <c r="M41" s="876"/>
      <c r="N41" s="876"/>
      <c r="O41" s="876"/>
      <c r="P41" s="876"/>
      <c r="Q41" s="446"/>
      <c r="R41" s="876"/>
      <c r="S41" s="916"/>
      <c r="T41" s="876"/>
    </row>
    <row r="42" spans="1:20" ht="15.75">
      <c r="A42" s="164" t="s">
        <v>105</v>
      </c>
      <c r="B42" s="108">
        <v>0.18</v>
      </c>
      <c r="C42" s="108">
        <v>0.18</v>
      </c>
      <c r="D42" s="108">
        <v>0.18</v>
      </c>
      <c r="E42" s="109">
        <v>0.18</v>
      </c>
      <c r="F42" s="109">
        <v>0.18</v>
      </c>
      <c r="G42" s="260">
        <v>0.18</v>
      </c>
      <c r="H42" s="446">
        <v>0.18</v>
      </c>
      <c r="I42" s="362"/>
      <c r="J42" s="299"/>
      <c r="K42" s="915"/>
      <c r="L42" s="876"/>
      <c r="M42" s="876"/>
      <c r="N42" s="876"/>
      <c r="O42" s="876"/>
      <c r="P42" s="876"/>
      <c r="Q42" s="446"/>
      <c r="R42" s="876"/>
      <c r="S42" s="916"/>
      <c r="T42" s="876"/>
    </row>
    <row r="43" spans="1:20" ht="15.75">
      <c r="A43" s="164" t="s">
        <v>106</v>
      </c>
      <c r="B43" s="108">
        <v>0.19500000000000001</v>
      </c>
      <c r="C43" s="108">
        <v>0.19500000000000001</v>
      </c>
      <c r="D43" s="108">
        <v>0.19500000000000001</v>
      </c>
      <c r="E43" s="109">
        <v>0.19500000000000001</v>
      </c>
      <c r="F43" s="109">
        <v>0.19500000000000001</v>
      </c>
      <c r="G43" s="260">
        <v>0.19</v>
      </c>
      <c r="H43" s="446">
        <v>0.19</v>
      </c>
      <c r="I43" s="362"/>
      <c r="J43" s="299"/>
      <c r="K43" s="915"/>
      <c r="L43" s="876"/>
      <c r="M43" s="876"/>
      <c r="N43" s="876"/>
      <c r="O43" s="876"/>
      <c r="P43" s="876"/>
      <c r="Q43" s="446"/>
      <c r="R43" s="876"/>
      <c r="S43" s="916"/>
      <c r="T43" s="876"/>
    </row>
    <row r="44" spans="1:20" ht="15.75">
      <c r="A44" s="164" t="s">
        <v>107</v>
      </c>
      <c r="B44" s="108">
        <v>0.19</v>
      </c>
      <c r="C44" s="108">
        <v>0.19</v>
      </c>
      <c r="D44" s="108">
        <v>0.19</v>
      </c>
      <c r="E44" s="109">
        <v>0.19</v>
      </c>
      <c r="F44" s="109">
        <v>0.19</v>
      </c>
      <c r="G44" s="260">
        <v>0.19</v>
      </c>
      <c r="H44" s="446">
        <v>0.19</v>
      </c>
      <c r="I44" s="362"/>
      <c r="J44" s="299"/>
      <c r="K44" s="915"/>
      <c r="L44" s="876"/>
      <c r="M44" s="876"/>
      <c r="N44" s="876"/>
      <c r="O44" s="876"/>
      <c r="P44" s="876"/>
      <c r="Q44" s="446"/>
      <c r="R44" s="876"/>
      <c r="S44" s="916"/>
      <c r="T44" s="876"/>
    </row>
    <row r="45" spans="1:20" ht="15.75">
      <c r="A45" s="164" t="s">
        <v>108</v>
      </c>
      <c r="B45" s="108">
        <v>0.17249999999999999</v>
      </c>
      <c r="C45" s="108">
        <v>0.17249999999999999</v>
      </c>
      <c r="D45" s="108">
        <v>0.17249999999999999</v>
      </c>
      <c r="E45" s="109">
        <v>0.17</v>
      </c>
      <c r="F45" s="437">
        <v>0.17</v>
      </c>
      <c r="G45" s="260">
        <v>0.17</v>
      </c>
      <c r="H45" s="447">
        <v>0.17</v>
      </c>
      <c r="I45" s="362"/>
      <c r="J45" s="299"/>
      <c r="K45"/>
      <c r="L45" s="876"/>
      <c r="M45" s="876"/>
      <c r="N45" s="876"/>
      <c r="O45" s="876"/>
      <c r="P45" s="876"/>
      <c r="Q45" s="446"/>
      <c r="R45" s="876"/>
      <c r="S45" s="916"/>
      <c r="T45" s="876"/>
    </row>
    <row r="46" spans="1:20" ht="15.75">
      <c r="A46" s="110" t="s">
        <v>109</v>
      </c>
      <c r="B46" s="408">
        <v>0.173736</v>
      </c>
      <c r="C46" s="408">
        <v>0.1742475</v>
      </c>
      <c r="D46" s="408">
        <v>0.17587520000000001</v>
      </c>
      <c r="E46" s="770">
        <v>0.17513489306275601</v>
      </c>
      <c r="F46" s="770">
        <v>0.174691578815098</v>
      </c>
      <c r="G46" s="412">
        <v>0.174856194378228</v>
      </c>
      <c r="H46" s="445">
        <f>ROUND(17.6931100904419%,7)</f>
        <v>0.17693110000000001</v>
      </c>
      <c r="I46" s="329"/>
      <c r="J46" s="299"/>
      <c r="K46" s="915"/>
      <c r="L46" s="876"/>
      <c r="M46" s="876"/>
      <c r="N46" s="876"/>
      <c r="O46" s="876"/>
      <c r="P46" s="659"/>
      <c r="Q46" s="659"/>
      <c r="R46" s="876"/>
      <c r="S46" s="876"/>
      <c r="T46" s="876"/>
    </row>
    <row r="47" spans="1:20" ht="15.75">
      <c r="A47" s="404" t="s">
        <v>334</v>
      </c>
      <c r="B47" s="363">
        <v>45615</v>
      </c>
      <c r="C47" s="300" t="s">
        <v>613</v>
      </c>
      <c r="D47" s="85"/>
      <c r="E47" s="85"/>
      <c r="F47" s="370"/>
      <c r="G47" s="370" t="s">
        <v>335</v>
      </c>
      <c r="H47" s="370" t="s">
        <v>187</v>
      </c>
      <c r="I47" s="299"/>
      <c r="J47" s="443" t="s">
        <v>612</v>
      </c>
      <c r="K47" s="444"/>
      <c r="L47" s="444"/>
      <c r="M47" s="444"/>
      <c r="N47" s="444"/>
      <c r="O47" s="444"/>
      <c r="P47" s="876"/>
      <c r="Q47" s="876"/>
      <c r="R47" s="876"/>
      <c r="S47" s="876"/>
      <c r="T47" s="876"/>
    </row>
    <row r="48" spans="1:20" ht="15.75">
      <c r="A48" s="85"/>
      <c r="B48" s="85"/>
      <c r="C48" s="85"/>
      <c r="D48" s="85"/>
      <c r="E48" s="85"/>
      <c r="F48" s="85"/>
      <c r="G48" s="85"/>
      <c r="H48" s="85"/>
      <c r="I48" s="85"/>
      <c r="J48" s="299"/>
      <c r="K48" s="876"/>
      <c r="L48" s="876"/>
      <c r="M48" s="876"/>
      <c r="N48" s="876"/>
      <c r="O48" s="876"/>
      <c r="P48" s="876"/>
      <c r="Q48" s="876"/>
      <c r="R48" s="876"/>
      <c r="S48" s="876"/>
      <c r="T48" s="876"/>
    </row>
    <row r="49" spans="1:20">
      <c r="A49" s="103" t="s">
        <v>336</v>
      </c>
      <c r="B49" s="105"/>
      <c r="C49" s="105"/>
      <c r="D49" s="105"/>
      <c r="E49" s="105"/>
      <c r="F49" s="484"/>
      <c r="G49" s="85"/>
      <c r="H49" s="791" t="s">
        <v>337</v>
      </c>
      <c r="I49" s="85"/>
      <c r="J49" s="85"/>
      <c r="K49" s="876"/>
      <c r="L49" s="876"/>
      <c r="M49" s="876"/>
      <c r="N49" s="791" t="s">
        <v>72</v>
      </c>
      <c r="O49" s="85"/>
      <c r="P49" s="85"/>
      <c r="Q49" s="876"/>
      <c r="R49" s="876"/>
      <c r="S49" s="876"/>
      <c r="T49" s="876"/>
    </row>
    <row r="50" spans="1:20">
      <c r="A50" s="364" t="s">
        <v>338</v>
      </c>
      <c r="B50" s="364">
        <v>2019</v>
      </c>
      <c r="C50" s="364">
        <v>2020</v>
      </c>
      <c r="D50" s="364">
        <v>2021</v>
      </c>
      <c r="E50" s="364">
        <v>2022</v>
      </c>
      <c r="F50" s="364">
        <v>2023</v>
      </c>
      <c r="G50" s="85"/>
      <c r="H50" s="364">
        <v>2019</v>
      </c>
      <c r="I50" s="364">
        <v>2020</v>
      </c>
      <c r="J50" s="364">
        <v>2021</v>
      </c>
      <c r="K50" s="364">
        <v>2022</v>
      </c>
      <c r="L50" s="364">
        <v>2023</v>
      </c>
      <c r="M50" s="693"/>
      <c r="N50" s="364">
        <v>2019</v>
      </c>
      <c r="O50" s="364">
        <v>2020</v>
      </c>
      <c r="P50" s="364">
        <v>2021</v>
      </c>
      <c r="Q50" s="364">
        <v>2022</v>
      </c>
      <c r="R50" s="364">
        <v>2023</v>
      </c>
      <c r="S50" s="876"/>
      <c r="T50" s="876"/>
    </row>
    <row r="51" spans="1:20" ht="15.75">
      <c r="A51" s="104" t="s">
        <v>93</v>
      </c>
      <c r="B51" s="93">
        <v>179446.20539310292</v>
      </c>
      <c r="C51" s="93">
        <v>367707.71733830136</v>
      </c>
      <c r="D51" s="23">
        <v>576774.48307035281</v>
      </c>
      <c r="E51" s="23">
        <v>380762.185055774</v>
      </c>
      <c r="F51" s="23">
        <v>222953.48661970592</v>
      </c>
      <c r="G51" s="353"/>
      <c r="H51" s="93">
        <v>0</v>
      </c>
      <c r="I51" s="93">
        <v>0</v>
      </c>
      <c r="J51" s="23">
        <v>0</v>
      </c>
      <c r="K51" s="23">
        <v>0</v>
      </c>
      <c r="L51" s="23">
        <v>104665.5716582</v>
      </c>
      <c r="M51" s="693"/>
      <c r="N51" s="93">
        <f>B51+H51</f>
        <v>179446.20539310292</v>
      </c>
      <c r="O51" s="93">
        <f t="shared" ref="O51:R51" si="0">C51+I51</f>
        <v>367707.71733830136</v>
      </c>
      <c r="P51" s="23">
        <f t="shared" si="0"/>
        <v>576774.48307035281</v>
      </c>
      <c r="Q51" s="23">
        <f t="shared" si="0"/>
        <v>380762.185055774</v>
      </c>
      <c r="R51" s="23">
        <f t="shared" si="0"/>
        <v>327619.05827790592</v>
      </c>
      <c r="S51" s="876"/>
      <c r="T51" s="876"/>
    </row>
    <row r="52" spans="1:20" ht="15.75">
      <c r="A52" s="104" t="s">
        <v>94</v>
      </c>
      <c r="B52" s="93">
        <v>185607.59069554799</v>
      </c>
      <c r="C52" s="93">
        <v>255329.2065309149</v>
      </c>
      <c r="D52" s="23">
        <v>282948.23909727426</v>
      </c>
      <c r="E52" s="23">
        <v>143782.08903587086</v>
      </c>
      <c r="F52" s="23">
        <v>62706.320246656935</v>
      </c>
      <c r="G52" s="353"/>
      <c r="H52" s="93">
        <v>0</v>
      </c>
      <c r="I52" s="93">
        <v>0</v>
      </c>
      <c r="J52" s="23">
        <v>0</v>
      </c>
      <c r="K52" s="23">
        <v>0</v>
      </c>
      <c r="L52" s="23">
        <v>29437.498173799999</v>
      </c>
      <c r="M52" s="23"/>
      <c r="N52" s="93">
        <f t="shared" ref="N52:N66" si="1">B52+H52</f>
        <v>185607.59069554799</v>
      </c>
      <c r="O52" s="93">
        <f t="shared" ref="O52:O66" si="2">C52+I52</f>
        <v>255329.2065309149</v>
      </c>
      <c r="P52" s="23">
        <f t="shared" ref="P52:P66" si="3">D52+J52</f>
        <v>282948.23909727426</v>
      </c>
      <c r="Q52" s="23">
        <f t="shared" ref="Q52:Q66" si="4">E52+K52</f>
        <v>143782.08903587086</v>
      </c>
      <c r="R52" s="23">
        <f t="shared" ref="R52:R65" si="5">F52+L52</f>
        <v>92143.818420456926</v>
      </c>
      <c r="S52" s="876"/>
      <c r="T52" s="876"/>
    </row>
    <row r="53" spans="1:20" ht="15.75">
      <c r="A53" s="104" t="s">
        <v>95</v>
      </c>
      <c r="B53" s="93">
        <v>421796.37927529879</v>
      </c>
      <c r="C53" s="93">
        <v>430865.45069801976</v>
      </c>
      <c r="D53" s="23">
        <v>631267.57773169945</v>
      </c>
      <c r="E53" s="23">
        <v>557938.31592943997</v>
      </c>
      <c r="F53" s="23">
        <v>467913.42165886104</v>
      </c>
      <c r="G53" s="353"/>
      <c r="H53" s="93">
        <v>0</v>
      </c>
      <c r="I53" s="93">
        <v>0</v>
      </c>
      <c r="J53" s="23">
        <v>0</v>
      </c>
      <c r="K53" s="23">
        <v>0</v>
      </c>
      <c r="L53" s="23">
        <v>219662.07618909999</v>
      </c>
      <c r="M53" s="23"/>
      <c r="N53" s="93">
        <f t="shared" si="1"/>
        <v>421796.37927529879</v>
      </c>
      <c r="O53" s="93">
        <f t="shared" si="2"/>
        <v>430865.45069801976</v>
      </c>
      <c r="P53" s="23">
        <f t="shared" si="3"/>
        <v>631267.57773169945</v>
      </c>
      <c r="Q53" s="23">
        <f t="shared" si="4"/>
        <v>557938.31592943997</v>
      </c>
      <c r="R53" s="23">
        <f t="shared" si="5"/>
        <v>687575.49784796103</v>
      </c>
      <c r="S53" s="876"/>
      <c r="T53" s="876"/>
    </row>
    <row r="54" spans="1:20" ht="15.75">
      <c r="A54" s="104" t="s">
        <v>96</v>
      </c>
      <c r="B54" s="93">
        <v>265661.8322352228</v>
      </c>
      <c r="C54" s="93">
        <v>321977.47236245929</v>
      </c>
      <c r="D54" s="23">
        <v>322200.97461887798</v>
      </c>
      <c r="E54" s="23">
        <v>210609.48079526599</v>
      </c>
      <c r="F54" s="23">
        <v>144482.05338165633</v>
      </c>
      <c r="G54" s="353"/>
      <c r="H54" s="93">
        <v>0</v>
      </c>
      <c r="I54" s="93">
        <v>0</v>
      </c>
      <c r="J54" s="23">
        <v>0</v>
      </c>
      <c r="K54" s="23">
        <v>0</v>
      </c>
      <c r="L54" s="23">
        <v>67827.137134400007</v>
      </c>
      <c r="M54" s="23"/>
      <c r="N54" s="93">
        <f t="shared" si="1"/>
        <v>265661.8322352228</v>
      </c>
      <c r="O54" s="93">
        <f t="shared" si="2"/>
        <v>321977.47236245929</v>
      </c>
      <c r="P54" s="23">
        <f t="shared" si="3"/>
        <v>322200.97461887798</v>
      </c>
      <c r="Q54" s="23">
        <f t="shared" si="4"/>
        <v>210609.48079526599</v>
      </c>
      <c r="R54" s="23">
        <f t="shared" si="5"/>
        <v>212309.19051605632</v>
      </c>
      <c r="S54" s="876"/>
      <c r="T54" s="876"/>
    </row>
    <row r="55" spans="1:20" ht="15.75">
      <c r="A55" s="104" t="s">
        <v>97</v>
      </c>
      <c r="B55" s="93">
        <v>7056.5716354730439</v>
      </c>
      <c r="C55" s="93">
        <v>9583.5216717326439</v>
      </c>
      <c r="D55" s="23">
        <v>9890.5206762323996</v>
      </c>
      <c r="E55" s="23">
        <v>8025.2092900666739</v>
      </c>
      <c r="F55" s="23">
        <v>7619.9035571065942</v>
      </c>
      <c r="G55" s="353"/>
      <c r="H55" s="93">
        <v>0</v>
      </c>
      <c r="I55" s="93">
        <v>0</v>
      </c>
      <c r="J55" s="23">
        <v>0</v>
      </c>
      <c r="K55" s="23">
        <v>0</v>
      </c>
      <c r="L55" s="23">
        <v>3577.1656853999998</v>
      </c>
      <c r="M55" s="23"/>
      <c r="N55" s="93">
        <f t="shared" si="1"/>
        <v>7056.5716354730439</v>
      </c>
      <c r="O55" s="93">
        <f t="shared" si="2"/>
        <v>9583.5216717326439</v>
      </c>
      <c r="P55" s="23">
        <f t="shared" si="3"/>
        <v>9890.5206762323996</v>
      </c>
      <c r="Q55" s="23">
        <f t="shared" si="4"/>
        <v>8025.2092900666739</v>
      </c>
      <c r="R55" s="23">
        <f t="shared" si="5"/>
        <v>11197.069242506594</v>
      </c>
      <c r="S55" s="876"/>
      <c r="T55" s="876"/>
    </row>
    <row r="56" spans="1:20" ht="15.75">
      <c r="A56" s="104" t="s">
        <v>98</v>
      </c>
      <c r="B56" s="93">
        <v>95228.641809040462</v>
      </c>
      <c r="C56" s="93">
        <v>102749.18802649213</v>
      </c>
      <c r="D56" s="23">
        <v>159288.03184221406</v>
      </c>
      <c r="E56" s="23">
        <v>142892.28747834213</v>
      </c>
      <c r="F56" s="23">
        <v>258545.20853952604</v>
      </c>
      <c r="G56" s="353"/>
      <c r="H56" s="93">
        <v>0</v>
      </c>
      <c r="I56" s="93">
        <v>0</v>
      </c>
      <c r="J56" s="23">
        <v>0</v>
      </c>
      <c r="K56" s="23">
        <v>0</v>
      </c>
      <c r="L56" s="23">
        <v>121374.114671</v>
      </c>
      <c r="M56" s="23"/>
      <c r="N56" s="93">
        <f t="shared" si="1"/>
        <v>95228.641809040462</v>
      </c>
      <c r="O56" s="93">
        <f t="shared" si="2"/>
        <v>102749.18802649213</v>
      </c>
      <c r="P56" s="23">
        <f t="shared" si="3"/>
        <v>159288.03184221406</v>
      </c>
      <c r="Q56" s="23">
        <f t="shared" si="4"/>
        <v>142892.28747834213</v>
      </c>
      <c r="R56" s="23">
        <f t="shared" si="5"/>
        <v>379919.32321052602</v>
      </c>
      <c r="S56" s="876"/>
      <c r="T56" s="876"/>
    </row>
    <row r="57" spans="1:20" ht="15.75">
      <c r="A57" s="104" t="s">
        <v>99</v>
      </c>
      <c r="B57" s="93">
        <v>1109430.3761760963</v>
      </c>
      <c r="C57" s="93">
        <v>1326546.9510283652</v>
      </c>
      <c r="D57" s="23">
        <v>1717917.7955079447</v>
      </c>
      <c r="E57" s="23">
        <v>1272241.9996585606</v>
      </c>
      <c r="F57" s="23">
        <v>1271869.4204816031</v>
      </c>
      <c r="G57" s="353"/>
      <c r="H57" s="93">
        <v>0</v>
      </c>
      <c r="I57" s="93">
        <v>0</v>
      </c>
      <c r="J57" s="23">
        <v>0</v>
      </c>
      <c r="K57" s="23">
        <v>0</v>
      </c>
      <c r="L57" s="23">
        <v>597079.42668959999</v>
      </c>
      <c r="M57" s="23"/>
      <c r="N57" s="93">
        <f t="shared" si="1"/>
        <v>1109430.3761760963</v>
      </c>
      <c r="O57" s="93">
        <f t="shared" si="2"/>
        <v>1326546.9510283652</v>
      </c>
      <c r="P57" s="23">
        <f t="shared" si="3"/>
        <v>1717917.7955079447</v>
      </c>
      <c r="Q57" s="23">
        <f t="shared" si="4"/>
        <v>1272241.9996585606</v>
      </c>
      <c r="R57" s="23">
        <f t="shared" si="5"/>
        <v>1868948.8471712032</v>
      </c>
      <c r="S57" s="876"/>
      <c r="T57" s="876"/>
    </row>
    <row r="58" spans="1:20" ht="15.75">
      <c r="A58" s="104" t="s">
        <v>100</v>
      </c>
      <c r="B58" s="93">
        <v>4547.6161087604223</v>
      </c>
      <c r="C58" s="93">
        <v>5736.4502992896596</v>
      </c>
      <c r="D58" s="23">
        <v>8508.8880822157316</v>
      </c>
      <c r="E58" s="23">
        <v>6113.6060845672864</v>
      </c>
      <c r="F58" s="23">
        <v>9635.4050622367104</v>
      </c>
      <c r="G58" s="353"/>
      <c r="H58" s="93">
        <v>0</v>
      </c>
      <c r="I58" s="93">
        <v>0</v>
      </c>
      <c r="J58" s="23">
        <v>0</v>
      </c>
      <c r="K58" s="23">
        <v>0</v>
      </c>
      <c r="L58" s="23">
        <v>4523.3433856000001</v>
      </c>
      <c r="M58" s="23"/>
      <c r="N58" s="93">
        <f t="shared" si="1"/>
        <v>4547.6161087604223</v>
      </c>
      <c r="O58" s="93">
        <f t="shared" si="2"/>
        <v>5736.4502992896596</v>
      </c>
      <c r="P58" s="23">
        <f t="shared" si="3"/>
        <v>8508.8880822157316</v>
      </c>
      <c r="Q58" s="23">
        <f t="shared" si="4"/>
        <v>6113.6060845672864</v>
      </c>
      <c r="R58" s="23">
        <f t="shared" si="5"/>
        <v>14158.748447836711</v>
      </c>
      <c r="S58" s="876"/>
      <c r="T58" s="876"/>
    </row>
    <row r="59" spans="1:20" ht="15.75">
      <c r="A59" s="104" t="s">
        <v>101</v>
      </c>
      <c r="B59" s="93">
        <v>4351.889967406114</v>
      </c>
      <c r="C59" s="93">
        <v>5980.5380505363291</v>
      </c>
      <c r="D59" s="23">
        <v>14447.835923932731</v>
      </c>
      <c r="E59" s="23">
        <v>14073.128125835847</v>
      </c>
      <c r="F59" s="23">
        <v>14874.791489282676</v>
      </c>
      <c r="G59" s="353"/>
      <c r="H59" s="93">
        <v>0</v>
      </c>
      <c r="I59" s="93">
        <v>0</v>
      </c>
      <c r="J59" s="23">
        <v>0</v>
      </c>
      <c r="K59" s="23">
        <v>0</v>
      </c>
      <c r="L59" s="23">
        <v>6982.9746918000001</v>
      </c>
      <c r="M59" s="23"/>
      <c r="N59" s="93">
        <f t="shared" si="1"/>
        <v>4351.889967406114</v>
      </c>
      <c r="O59" s="93">
        <f t="shared" si="2"/>
        <v>5980.5380505363291</v>
      </c>
      <c r="P59" s="23">
        <f t="shared" si="3"/>
        <v>14447.835923932731</v>
      </c>
      <c r="Q59" s="23">
        <f t="shared" si="4"/>
        <v>14073.128125835847</v>
      </c>
      <c r="R59" s="23">
        <f t="shared" si="5"/>
        <v>21857.766181082676</v>
      </c>
      <c r="S59" s="876"/>
      <c r="T59" s="876"/>
    </row>
    <row r="60" spans="1:20" ht="15.75">
      <c r="A60" s="104" t="s">
        <v>102</v>
      </c>
      <c r="B60" s="93">
        <v>87867.436853246356</v>
      </c>
      <c r="C60" s="93">
        <v>112789.27910843948</v>
      </c>
      <c r="D60" s="23">
        <v>147969.52421218943</v>
      </c>
      <c r="E60" s="23">
        <v>115214.49600262269</v>
      </c>
      <c r="F60" s="23">
        <v>111858.7594160826</v>
      </c>
      <c r="G60" s="353"/>
      <c r="H60" s="93">
        <v>0</v>
      </c>
      <c r="I60" s="93">
        <v>0</v>
      </c>
      <c r="J60" s="23">
        <v>0</v>
      </c>
      <c r="K60" s="23">
        <v>0</v>
      </c>
      <c r="L60" s="23">
        <v>52512.123388499997</v>
      </c>
      <c r="M60" s="23"/>
      <c r="N60" s="93">
        <f t="shared" si="1"/>
        <v>87867.436853246356</v>
      </c>
      <c r="O60" s="93">
        <f t="shared" si="2"/>
        <v>112789.27910843948</v>
      </c>
      <c r="P60" s="23">
        <f t="shared" si="3"/>
        <v>147969.52421218943</v>
      </c>
      <c r="Q60" s="23">
        <f t="shared" si="4"/>
        <v>115214.49600262269</v>
      </c>
      <c r="R60" s="23">
        <f t="shared" si="5"/>
        <v>164370.88280458259</v>
      </c>
      <c r="S60" s="876"/>
      <c r="T60" s="876"/>
    </row>
    <row r="61" spans="1:20" ht="15.75">
      <c r="A61" s="104" t="s">
        <v>103</v>
      </c>
      <c r="B61" s="93">
        <v>64571.628840820224</v>
      </c>
      <c r="C61" s="93">
        <v>72861.13638497112</v>
      </c>
      <c r="D61" s="23">
        <v>86179.435304053841</v>
      </c>
      <c r="E61" s="23">
        <v>60601.908820922479</v>
      </c>
      <c r="F61" s="23">
        <v>43113.670322774597</v>
      </c>
      <c r="G61" s="353"/>
      <c r="H61" s="93">
        <v>0</v>
      </c>
      <c r="I61" s="93">
        <v>0</v>
      </c>
      <c r="J61" s="23">
        <v>0</v>
      </c>
      <c r="K61" s="23">
        <v>0</v>
      </c>
      <c r="L61" s="23">
        <v>20239.723625899998</v>
      </c>
      <c r="M61" s="23"/>
      <c r="N61" s="93">
        <f t="shared" si="1"/>
        <v>64571.628840820224</v>
      </c>
      <c r="O61" s="93">
        <f t="shared" si="2"/>
        <v>72861.13638497112</v>
      </c>
      <c r="P61" s="23">
        <f t="shared" si="3"/>
        <v>86179.435304053841</v>
      </c>
      <c r="Q61" s="23">
        <f t="shared" si="4"/>
        <v>60601.908820922479</v>
      </c>
      <c r="R61" s="23">
        <f t="shared" si="5"/>
        <v>63353.393948674595</v>
      </c>
      <c r="S61" s="876"/>
      <c r="T61" s="876"/>
    </row>
    <row r="62" spans="1:20" ht="15.75">
      <c r="A62" s="104" t="s">
        <v>108</v>
      </c>
      <c r="B62" s="93">
        <v>6924606.1990823662</v>
      </c>
      <c r="C62" s="93">
        <v>6994183.800817539</v>
      </c>
      <c r="D62" s="23">
        <v>8140659.5460576974</v>
      </c>
      <c r="E62" s="23">
        <v>6354625.8421227988</v>
      </c>
      <c r="F62" s="23">
        <v>5155181.0642793747</v>
      </c>
      <c r="G62" s="353"/>
      <c r="H62" s="93">
        <v>0</v>
      </c>
      <c r="I62" s="93">
        <v>0</v>
      </c>
      <c r="J62" s="23">
        <v>0</v>
      </c>
      <c r="K62" s="23">
        <v>0</v>
      </c>
      <c r="L62" s="23">
        <v>2420101.0770236999</v>
      </c>
      <c r="M62" s="23"/>
      <c r="N62" s="93">
        <f t="shared" si="1"/>
        <v>6924606.1990823662</v>
      </c>
      <c r="O62" s="93">
        <f t="shared" si="2"/>
        <v>6994183.800817539</v>
      </c>
      <c r="P62" s="23">
        <f t="shared" si="3"/>
        <v>8140659.5460576974</v>
      </c>
      <c r="Q62" s="23">
        <f t="shared" si="4"/>
        <v>6354625.8421227988</v>
      </c>
      <c r="R62" s="23">
        <f t="shared" si="5"/>
        <v>7575282.1413030745</v>
      </c>
      <c r="S62" s="876"/>
      <c r="T62" s="876"/>
    </row>
    <row r="63" spans="1:20" ht="15.75">
      <c r="A63" s="104" t="s">
        <v>104</v>
      </c>
      <c r="B63" s="93">
        <v>797363.24611327692</v>
      </c>
      <c r="C63" s="93">
        <v>985769.28779001173</v>
      </c>
      <c r="D63" s="23">
        <v>1391019.6245439257</v>
      </c>
      <c r="E63" s="23">
        <v>1044050.5447314226</v>
      </c>
      <c r="F63" s="23">
        <v>1135288.8130193087</v>
      </c>
      <c r="G63" s="353"/>
      <c r="H63" s="93">
        <v>0</v>
      </c>
      <c r="I63" s="93">
        <v>0</v>
      </c>
      <c r="J63" s="23">
        <v>0</v>
      </c>
      <c r="K63" s="23">
        <v>0</v>
      </c>
      <c r="L63" s="23">
        <v>532961.62537499995</v>
      </c>
      <c r="M63" s="23"/>
      <c r="N63" s="93">
        <f t="shared" si="1"/>
        <v>797363.24611327692</v>
      </c>
      <c r="O63" s="93">
        <f t="shared" si="2"/>
        <v>985769.28779001173</v>
      </c>
      <c r="P63" s="23">
        <f t="shared" si="3"/>
        <v>1391019.6245439257</v>
      </c>
      <c r="Q63" s="23">
        <f t="shared" si="4"/>
        <v>1044050.5447314226</v>
      </c>
      <c r="R63" s="23">
        <f t="shared" si="5"/>
        <v>1668250.4383943086</v>
      </c>
      <c r="S63" s="876"/>
      <c r="T63" s="876"/>
    </row>
    <row r="64" spans="1:20" ht="15.75">
      <c r="A64" s="104" t="s">
        <v>105</v>
      </c>
      <c r="B64" s="93">
        <v>12899.620742496985</v>
      </c>
      <c r="C64" s="93">
        <v>12938.757888892129</v>
      </c>
      <c r="D64" s="23">
        <v>18705.4838693192</v>
      </c>
      <c r="E64" s="23">
        <v>13257.772116944976</v>
      </c>
      <c r="F64" s="23">
        <v>13138.853454404909</v>
      </c>
      <c r="G64" s="353"/>
      <c r="H64" s="93">
        <v>0</v>
      </c>
      <c r="I64" s="93">
        <v>0</v>
      </c>
      <c r="J64" s="23">
        <v>0</v>
      </c>
      <c r="K64" s="23">
        <v>0</v>
      </c>
      <c r="L64" s="23">
        <v>6168.0381347000002</v>
      </c>
      <c r="M64" s="23"/>
      <c r="N64" s="93">
        <f t="shared" si="1"/>
        <v>12899.620742496985</v>
      </c>
      <c r="O64" s="93">
        <f t="shared" si="2"/>
        <v>12938.757888892129</v>
      </c>
      <c r="P64" s="23">
        <f t="shared" si="3"/>
        <v>18705.4838693192</v>
      </c>
      <c r="Q64" s="23">
        <f t="shared" si="4"/>
        <v>13257.772116944976</v>
      </c>
      <c r="R64" s="23">
        <f t="shared" si="5"/>
        <v>19306.891589104911</v>
      </c>
      <c r="S64" s="876"/>
      <c r="T64" s="876"/>
    </row>
    <row r="65" spans="1:18" ht="15.75">
      <c r="A65" s="104" t="s">
        <v>106</v>
      </c>
      <c r="B65" s="93">
        <v>44345.264850803127</v>
      </c>
      <c r="C65" s="93">
        <v>60442.82548226737</v>
      </c>
      <c r="D65" s="23">
        <v>96562.539221077852</v>
      </c>
      <c r="E65" s="23">
        <v>75154.866659407402</v>
      </c>
      <c r="F65" s="23">
        <v>43471.669876057858</v>
      </c>
      <c r="G65" s="353"/>
      <c r="H65" s="93">
        <v>0</v>
      </c>
      <c r="I65" s="93">
        <v>0</v>
      </c>
      <c r="J65" s="23">
        <v>0</v>
      </c>
      <c r="K65" s="23">
        <v>0</v>
      </c>
      <c r="L65" s="23">
        <v>20407.786608300001</v>
      </c>
      <c r="M65" s="23"/>
      <c r="N65" s="93">
        <f t="shared" si="1"/>
        <v>44345.264850803127</v>
      </c>
      <c r="O65" s="93">
        <f t="shared" si="2"/>
        <v>60442.82548226737</v>
      </c>
      <c r="P65" s="23">
        <f t="shared" si="3"/>
        <v>96562.539221077852</v>
      </c>
      <c r="Q65" s="23">
        <f t="shared" si="4"/>
        <v>75154.866659407402</v>
      </c>
      <c r="R65" s="23">
        <f t="shared" si="5"/>
        <v>63879.456484357856</v>
      </c>
    </row>
    <row r="66" spans="1:18" ht="15.75">
      <c r="A66" s="103" t="s">
        <v>107</v>
      </c>
      <c r="B66" s="94">
        <v>21245.694281040996</v>
      </c>
      <c r="C66" s="94">
        <v>24395.356397769829</v>
      </c>
      <c r="D66" s="365">
        <v>29294.728350992238</v>
      </c>
      <c r="E66" s="365">
        <v>27203.696364155905</v>
      </c>
      <c r="F66" s="365">
        <v>32310.80892836117</v>
      </c>
      <c r="G66" s="353"/>
      <c r="H66" s="94">
        <v>0</v>
      </c>
      <c r="I66" s="94">
        <v>0</v>
      </c>
      <c r="J66" s="365">
        <v>0</v>
      </c>
      <c r="K66" s="365">
        <v>0</v>
      </c>
      <c r="L66" s="365">
        <v>15168.3175648</v>
      </c>
      <c r="M66" s="23"/>
      <c r="N66" s="94">
        <f t="shared" si="1"/>
        <v>21245.694281040996</v>
      </c>
      <c r="O66" s="94">
        <f t="shared" si="2"/>
        <v>24395.356397769829</v>
      </c>
      <c r="P66" s="365">
        <f t="shared" si="3"/>
        <v>29294.728350992238</v>
      </c>
      <c r="Q66" s="365">
        <f t="shared" si="4"/>
        <v>27203.696364155905</v>
      </c>
      <c r="R66" s="365">
        <f>F66+L66</f>
        <v>47479.126493161166</v>
      </c>
    </row>
    <row r="67" spans="1:18" ht="15.75">
      <c r="A67" s="104" t="s">
        <v>109</v>
      </c>
      <c r="B67" s="97">
        <v>10226026.194059998</v>
      </c>
      <c r="C67" s="97">
        <v>11089856.939876003</v>
      </c>
      <c r="D67" s="247">
        <v>13633635.22811</v>
      </c>
      <c r="E67" s="247">
        <v>10426547.428271998</v>
      </c>
      <c r="F67" s="247">
        <f>SUM(F51:F66)</f>
        <v>8994963.6503330003</v>
      </c>
      <c r="G67"/>
      <c r="H67" s="247">
        <f t="shared" ref="H67:K67" si="6">SUM(H51:H66)</f>
        <v>0</v>
      </c>
      <c r="I67" s="247">
        <f t="shared" si="6"/>
        <v>0</v>
      </c>
      <c r="J67" s="247">
        <f t="shared" si="6"/>
        <v>0</v>
      </c>
      <c r="K67" s="247">
        <f t="shared" si="6"/>
        <v>0</v>
      </c>
      <c r="L67" s="247">
        <f>SUM(L51:L66)</f>
        <v>4222687.9999997998</v>
      </c>
      <c r="M67" s="23"/>
      <c r="N67" s="247">
        <f>H67+B67</f>
        <v>10226026.194059998</v>
      </c>
      <c r="O67" s="247">
        <f t="shared" ref="O67:R67" si="7">I67+C67</f>
        <v>11089856.939876003</v>
      </c>
      <c r="P67" s="247">
        <f t="shared" si="7"/>
        <v>13633635.22811</v>
      </c>
      <c r="Q67" s="247">
        <f t="shared" si="7"/>
        <v>10426547.428271998</v>
      </c>
      <c r="R67" s="247">
        <f t="shared" si="7"/>
        <v>13217651.650332801</v>
      </c>
    </row>
    <row r="68" spans="1:18" ht="15.75">
      <c r="A68" s="409" t="s">
        <v>331</v>
      </c>
      <c r="B68" s="85"/>
      <c r="C68" s="317"/>
      <c r="D68" s="317">
        <v>45603</v>
      </c>
      <c r="E68" s="85"/>
      <c r="F68" s="386"/>
      <c r="G68" s="85"/>
      <c r="H68" s="876"/>
      <c r="I68" s="876"/>
      <c r="J68" s="104"/>
      <c r="K68" s="97"/>
      <c r="L68" s="386"/>
      <c r="M68" s="247"/>
      <c r="N68" s="247"/>
      <c r="O68" s="247"/>
      <c r="P68" s="876"/>
      <c r="Q68" s="876"/>
      <c r="R68" s="876"/>
    </row>
    <row r="69" spans="1:18">
      <c r="A69" s="85"/>
      <c r="B69" s="85"/>
      <c r="C69" s="85"/>
      <c r="D69" s="85"/>
      <c r="E69" s="85"/>
      <c r="F69" s="85"/>
      <c r="G69" s="85"/>
      <c r="H69" s="85"/>
      <c r="I69" s="876"/>
      <c r="J69" s="876"/>
      <c r="K69" s="876"/>
      <c r="L69" s="876"/>
      <c r="M69" s="876"/>
      <c r="N69" s="876"/>
      <c r="O69" s="876"/>
      <c r="P69" s="876"/>
      <c r="Q69" s="876"/>
      <c r="R69" s="876"/>
    </row>
    <row r="70" spans="1:18">
      <c r="A70" s="103" t="s">
        <v>339</v>
      </c>
      <c r="B70" s="105"/>
      <c r="C70" s="105"/>
      <c r="D70" s="105"/>
      <c r="E70" s="105"/>
      <c r="F70" s="105"/>
      <c r="G70" s="105"/>
      <c r="H70" s="85"/>
      <c r="I70" s="876"/>
      <c r="J70" s="876"/>
      <c r="K70" s="876"/>
      <c r="L70" s="876"/>
      <c r="M70" s="876"/>
      <c r="N70" s="876"/>
      <c r="O70" s="876"/>
      <c r="P70" s="876"/>
      <c r="Q70" s="876"/>
      <c r="R70" s="876"/>
    </row>
    <row r="71" spans="1:18">
      <c r="A71" s="366" t="s">
        <v>340</v>
      </c>
      <c r="B71" s="499">
        <v>2019</v>
      </c>
      <c r="C71" s="499">
        <v>2020</v>
      </c>
      <c r="D71" s="499">
        <v>2021</v>
      </c>
      <c r="E71" s="660" t="s">
        <v>341</v>
      </c>
      <c r="F71" s="660">
        <v>2023</v>
      </c>
      <c r="G71" s="366">
        <v>2024</v>
      </c>
      <c r="H71" s="85"/>
      <c r="I71" s="314" t="s">
        <v>221</v>
      </c>
      <c r="J71" s="876"/>
      <c r="K71" s="876"/>
      <c r="L71" s="876"/>
      <c r="M71" s="876"/>
      <c r="N71" s="876"/>
      <c r="O71" s="876"/>
      <c r="P71" s="876"/>
      <c r="Q71" s="876"/>
      <c r="R71" s="876"/>
    </row>
    <row r="72" spans="1:18">
      <c r="A72" s="367" t="s">
        <v>93</v>
      </c>
      <c r="B72" s="500">
        <v>449</v>
      </c>
      <c r="C72" s="500">
        <v>445</v>
      </c>
      <c r="D72" s="500">
        <v>449</v>
      </c>
      <c r="E72" s="500">
        <v>449</v>
      </c>
      <c r="F72" s="500">
        <v>450</v>
      </c>
      <c r="G72" s="93"/>
      <c r="H72" s="85"/>
      <c r="I72" s="93">
        <v>436</v>
      </c>
      <c r="J72" s="876"/>
      <c r="K72" s="876"/>
      <c r="L72" s="876"/>
      <c r="M72" s="876"/>
      <c r="N72" s="876"/>
      <c r="O72" s="876"/>
      <c r="P72" s="876"/>
      <c r="Q72" s="876"/>
      <c r="R72" s="876"/>
    </row>
    <row r="73" spans="1:18">
      <c r="A73" s="367" t="s">
        <v>94</v>
      </c>
      <c r="B73" s="500">
        <v>961</v>
      </c>
      <c r="C73" s="500">
        <v>952</v>
      </c>
      <c r="D73" s="500">
        <v>958</v>
      </c>
      <c r="E73" s="500">
        <v>933</v>
      </c>
      <c r="F73" s="500">
        <v>939</v>
      </c>
      <c r="G73" s="93"/>
      <c r="H73" s="85"/>
      <c r="I73" s="93">
        <v>942</v>
      </c>
      <c r="J73" s="876"/>
      <c r="K73" s="876"/>
      <c r="L73" s="876"/>
      <c r="M73" s="876"/>
      <c r="N73" s="876"/>
      <c r="O73" s="876"/>
      <c r="P73" s="876"/>
      <c r="Q73" s="876"/>
      <c r="R73" s="876"/>
    </row>
    <row r="74" spans="1:18">
      <c r="A74" s="367" t="s">
        <v>95</v>
      </c>
      <c r="B74" s="500">
        <v>2588</v>
      </c>
      <c r="C74" s="500">
        <v>2593</v>
      </c>
      <c r="D74" s="500">
        <v>2603</v>
      </c>
      <c r="E74" s="500">
        <v>2638</v>
      </c>
      <c r="F74" s="500">
        <v>2588</v>
      </c>
      <c r="G74" s="93"/>
      <c r="H74" s="85"/>
      <c r="I74" s="93">
        <v>2610</v>
      </c>
      <c r="J74" s="876"/>
      <c r="K74" s="876"/>
      <c r="L74" s="876"/>
      <c r="M74" s="876"/>
      <c r="N74" s="876"/>
      <c r="O74" s="876"/>
      <c r="P74" s="876"/>
      <c r="Q74" s="876"/>
      <c r="R74" s="876"/>
    </row>
    <row r="75" spans="1:18">
      <c r="A75" s="367" t="s">
        <v>96</v>
      </c>
      <c r="B75" s="500">
        <v>534</v>
      </c>
      <c r="C75" s="500">
        <v>531</v>
      </c>
      <c r="D75" s="500">
        <v>526</v>
      </c>
      <c r="E75" s="500">
        <v>501</v>
      </c>
      <c r="F75" s="500">
        <v>504</v>
      </c>
      <c r="G75" s="93"/>
      <c r="H75" s="85"/>
      <c r="I75" s="93">
        <v>509</v>
      </c>
      <c r="J75" s="876"/>
      <c r="K75" s="876"/>
      <c r="L75" s="876"/>
      <c r="M75" s="876"/>
      <c r="N75" s="876"/>
      <c r="O75" s="876"/>
      <c r="P75" s="876"/>
      <c r="Q75" s="876"/>
      <c r="R75" s="876"/>
    </row>
    <row r="76" spans="1:18">
      <c r="A76" s="367" t="s">
        <v>97</v>
      </c>
      <c r="B76" s="500">
        <v>514</v>
      </c>
      <c r="C76" s="500">
        <v>496</v>
      </c>
      <c r="D76" s="500">
        <v>511</v>
      </c>
      <c r="E76" s="500">
        <v>505</v>
      </c>
      <c r="F76" s="500">
        <v>507</v>
      </c>
      <c r="G76" s="93"/>
      <c r="H76" s="85"/>
      <c r="I76" s="93">
        <v>509</v>
      </c>
      <c r="J76" s="876"/>
      <c r="K76" s="876"/>
      <c r="L76" s="876"/>
      <c r="M76" s="876"/>
      <c r="N76" s="876"/>
      <c r="O76" s="876"/>
      <c r="P76" s="876"/>
      <c r="Q76" s="876"/>
      <c r="R76" s="876"/>
    </row>
    <row r="77" spans="1:18">
      <c r="A77" s="367" t="s">
        <v>98</v>
      </c>
      <c r="B77" s="500">
        <v>1577</v>
      </c>
      <c r="C77" s="500">
        <v>1583</v>
      </c>
      <c r="D77" s="500">
        <v>1599</v>
      </c>
      <c r="E77" s="500">
        <v>1619</v>
      </c>
      <c r="F77" s="500">
        <v>1628</v>
      </c>
      <c r="G77" s="93"/>
      <c r="H77" s="85"/>
      <c r="I77" s="93">
        <v>1646</v>
      </c>
      <c r="J77" s="876"/>
      <c r="K77" s="876"/>
      <c r="L77" s="876"/>
      <c r="M77" s="876"/>
      <c r="N77" s="876"/>
      <c r="O77" s="876"/>
      <c r="P77" s="876"/>
      <c r="Q77" s="876"/>
      <c r="R77" s="876"/>
    </row>
    <row r="78" spans="1:18">
      <c r="A78" s="367" t="s">
        <v>99</v>
      </c>
      <c r="B78" s="500">
        <v>5032</v>
      </c>
      <c r="C78" s="500">
        <v>5233</v>
      </c>
      <c r="D78" s="500">
        <v>5386</v>
      </c>
      <c r="E78" s="500">
        <v>5512</v>
      </c>
      <c r="F78" s="500">
        <v>5610</v>
      </c>
      <c r="G78" s="93"/>
      <c r="H78" s="85"/>
      <c r="I78" s="93">
        <v>5697</v>
      </c>
      <c r="J78" s="876"/>
      <c r="K78" s="876"/>
      <c r="L78" s="876"/>
      <c r="M78" s="876"/>
      <c r="N78" s="876"/>
      <c r="O78" s="876"/>
      <c r="P78" s="876"/>
      <c r="Q78" s="876"/>
      <c r="R78" s="876"/>
    </row>
    <row r="79" spans="1:18">
      <c r="A79" s="367" t="s">
        <v>100</v>
      </c>
      <c r="B79" s="500">
        <v>315</v>
      </c>
      <c r="C79" s="500">
        <v>314</v>
      </c>
      <c r="D79" s="500">
        <v>307</v>
      </c>
      <c r="E79" s="500">
        <v>313</v>
      </c>
      <c r="F79" s="500">
        <v>306</v>
      </c>
      <c r="G79" s="93"/>
      <c r="H79" s="85"/>
      <c r="I79" s="93">
        <v>290</v>
      </c>
      <c r="J79" s="876"/>
      <c r="K79" s="876"/>
      <c r="L79" s="876"/>
      <c r="M79" s="876"/>
      <c r="N79" s="876"/>
      <c r="O79" s="876"/>
      <c r="P79" s="876"/>
      <c r="Q79" s="876"/>
      <c r="R79" s="876"/>
    </row>
    <row r="80" spans="1:18">
      <c r="A80" s="367" t="s">
        <v>101</v>
      </c>
      <c r="B80" s="500">
        <v>236</v>
      </c>
      <c r="C80" s="500">
        <v>232</v>
      </c>
      <c r="D80" s="500">
        <v>225</v>
      </c>
      <c r="E80" s="500">
        <v>224</v>
      </c>
      <c r="F80" s="500">
        <v>223</v>
      </c>
      <c r="G80" s="93"/>
      <c r="H80" s="85"/>
      <c r="I80" s="93">
        <v>225</v>
      </c>
      <c r="J80" s="876"/>
      <c r="K80" s="876"/>
      <c r="L80" s="876"/>
      <c r="M80" s="876"/>
      <c r="N80" s="876"/>
      <c r="O80" s="876"/>
      <c r="P80" s="876"/>
      <c r="Q80" s="876"/>
      <c r="R80" s="876"/>
    </row>
    <row r="81" spans="1:34">
      <c r="A81" s="367" t="s">
        <v>102</v>
      </c>
      <c r="B81" s="500">
        <v>2033</v>
      </c>
      <c r="C81" s="500">
        <v>2053</v>
      </c>
      <c r="D81" s="500">
        <v>2114</v>
      </c>
      <c r="E81" s="500">
        <v>2135</v>
      </c>
      <c r="F81" s="500">
        <v>2131</v>
      </c>
      <c r="G81" s="93"/>
      <c r="H81" s="85"/>
      <c r="I81" s="93">
        <v>2127</v>
      </c>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row>
    <row r="82" spans="1:34">
      <c r="A82" s="367" t="s">
        <v>103</v>
      </c>
      <c r="B82" s="500">
        <v>382</v>
      </c>
      <c r="C82" s="500">
        <v>366</v>
      </c>
      <c r="D82" s="500">
        <v>372</v>
      </c>
      <c r="E82" s="500">
        <v>376</v>
      </c>
      <c r="F82" s="500">
        <v>360</v>
      </c>
      <c r="G82" s="93"/>
      <c r="H82" s="85"/>
      <c r="I82" s="93">
        <v>366</v>
      </c>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row>
    <row r="83" spans="1:34">
      <c r="A83" s="367" t="s">
        <v>104</v>
      </c>
      <c r="B83" s="500">
        <v>1858</v>
      </c>
      <c r="C83" s="500">
        <v>1849</v>
      </c>
      <c r="D83" s="500">
        <v>1806</v>
      </c>
      <c r="E83" s="500">
        <v>1810</v>
      </c>
      <c r="F83" s="500">
        <v>1793</v>
      </c>
      <c r="G83" s="93"/>
      <c r="H83" s="85"/>
      <c r="I83" s="93">
        <v>1791</v>
      </c>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row>
    <row r="84" spans="1:34">
      <c r="A84" s="367" t="s">
        <v>105</v>
      </c>
      <c r="B84" s="500">
        <v>91</v>
      </c>
      <c r="C84" s="500">
        <v>88</v>
      </c>
      <c r="D84" s="500">
        <v>101</v>
      </c>
      <c r="E84" s="500">
        <v>105</v>
      </c>
      <c r="F84" s="500">
        <v>111</v>
      </c>
      <c r="G84" s="93"/>
      <c r="H84" s="85"/>
      <c r="I84" s="93">
        <v>115</v>
      </c>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row>
    <row r="85" spans="1:34">
      <c r="A85" s="367" t="s">
        <v>106</v>
      </c>
      <c r="B85" s="500">
        <v>1028</v>
      </c>
      <c r="C85" s="500">
        <v>1023</v>
      </c>
      <c r="D85" s="500">
        <v>1007</v>
      </c>
      <c r="E85" s="500">
        <v>1019</v>
      </c>
      <c r="F85" s="500">
        <v>1001</v>
      </c>
      <c r="G85" s="93"/>
      <c r="H85" s="85"/>
      <c r="I85" s="93">
        <v>995</v>
      </c>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row>
    <row r="86" spans="1:34">
      <c r="A86" s="367" t="s">
        <v>107</v>
      </c>
      <c r="B86" s="500">
        <v>448</v>
      </c>
      <c r="C86" s="500">
        <v>447</v>
      </c>
      <c r="D86" s="500">
        <v>460</v>
      </c>
      <c r="E86" s="500">
        <v>463</v>
      </c>
      <c r="F86" s="500">
        <v>451</v>
      </c>
      <c r="G86" s="93"/>
      <c r="H86" s="85"/>
      <c r="I86" s="93">
        <v>471</v>
      </c>
      <c r="J86" s="876"/>
      <c r="K86" s="876"/>
      <c r="L86" s="876"/>
      <c r="M86" s="876"/>
      <c r="N86" s="876"/>
      <c r="O86" s="876"/>
      <c r="P86" s="876"/>
      <c r="Q86" s="876"/>
      <c r="R86" s="876"/>
      <c r="S86" s="876"/>
      <c r="T86" s="876"/>
      <c r="U86" s="876"/>
      <c r="V86" s="876"/>
      <c r="W86" s="876"/>
      <c r="X86" s="876"/>
      <c r="Y86" s="876"/>
      <c r="Z86" s="876"/>
      <c r="AA86" s="876"/>
      <c r="AB86" s="876"/>
      <c r="AC86" s="876"/>
      <c r="AD86" s="876"/>
      <c r="AE86" s="876"/>
      <c r="AF86" s="876"/>
      <c r="AG86" s="876"/>
    </row>
    <row r="87" spans="1:34">
      <c r="A87" s="368" t="s">
        <v>108</v>
      </c>
      <c r="B87" s="501">
        <v>11743</v>
      </c>
      <c r="C87" s="501">
        <v>11679</v>
      </c>
      <c r="D87" s="501">
        <v>11705</v>
      </c>
      <c r="E87" s="501">
        <v>11742</v>
      </c>
      <c r="F87" s="501">
        <v>11757</v>
      </c>
      <c r="G87" s="94"/>
      <c r="H87" s="85"/>
      <c r="I87" s="94">
        <v>11812</v>
      </c>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row>
    <row r="88" spans="1:34">
      <c r="A88" s="367" t="s">
        <v>109</v>
      </c>
      <c r="B88" s="502">
        <v>29789</v>
      </c>
      <c r="C88" s="502">
        <v>29884</v>
      </c>
      <c r="D88" s="502">
        <v>30129</v>
      </c>
      <c r="E88" s="502">
        <v>30344</v>
      </c>
      <c r="F88" s="502">
        <v>30359</v>
      </c>
      <c r="G88" s="97"/>
      <c r="H88" s="85"/>
      <c r="I88" s="97">
        <v>30541</v>
      </c>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row>
    <row r="89" spans="1:34">
      <c r="A89" s="19"/>
      <c r="B89" s="20"/>
      <c r="C89" s="97"/>
      <c r="D89" s="97"/>
      <c r="E89" s="97"/>
      <c r="F89" s="97"/>
      <c r="G89" s="97"/>
      <c r="H89" s="97"/>
      <c r="I89" s="876"/>
      <c r="J89" s="876"/>
      <c r="K89" s="876"/>
      <c r="L89" s="876"/>
      <c r="M89" s="876"/>
      <c r="N89" s="876"/>
      <c r="O89" s="876"/>
      <c r="P89" s="876"/>
      <c r="Q89" s="876"/>
      <c r="R89" s="876"/>
      <c r="S89" s="876"/>
      <c r="T89" s="876"/>
      <c r="U89" s="876"/>
      <c r="V89" s="876"/>
      <c r="W89" s="876"/>
      <c r="X89" s="876"/>
      <c r="Y89" s="876"/>
      <c r="Z89" s="876"/>
      <c r="AA89" s="876"/>
      <c r="AB89" s="876"/>
      <c r="AC89" s="876"/>
      <c r="AD89" s="876"/>
      <c r="AE89" s="876"/>
      <c r="AF89" s="876"/>
      <c r="AG89" s="876"/>
    </row>
    <row r="90" spans="1:34">
      <c r="A90" s="85"/>
      <c r="B90" s="85"/>
      <c r="C90" s="85"/>
      <c r="D90" s="85"/>
      <c r="E90" s="85"/>
      <c r="F90" s="85"/>
      <c r="G90" s="85"/>
      <c r="H90" s="85"/>
      <c r="I90" s="876"/>
      <c r="J90" s="876"/>
      <c r="K90" s="876"/>
      <c r="L90" s="876"/>
      <c r="M90" s="876"/>
      <c r="N90" s="876"/>
      <c r="O90" s="876"/>
      <c r="P90" s="876"/>
      <c r="Q90" s="876"/>
      <c r="R90" s="876"/>
      <c r="S90" s="876"/>
      <c r="T90" s="876"/>
      <c r="U90" s="876"/>
      <c r="V90" s="876"/>
      <c r="W90" s="876"/>
      <c r="X90" s="876"/>
      <c r="Y90" s="876"/>
      <c r="Z90" s="876"/>
      <c r="AA90" s="876"/>
      <c r="AB90" s="876"/>
      <c r="AC90" s="876"/>
      <c r="AD90" s="876"/>
      <c r="AE90" s="876"/>
      <c r="AF90" s="876"/>
      <c r="AG90" s="876"/>
    </row>
    <row r="91" spans="1:34">
      <c r="A91" s="104" t="s">
        <v>342</v>
      </c>
      <c r="B91" s="85"/>
      <c r="C91" s="85"/>
      <c r="D91" s="85"/>
      <c r="E91" s="85"/>
      <c r="F91" s="85"/>
      <c r="G91" s="104" t="s">
        <v>343</v>
      </c>
      <c r="H91" s="85"/>
      <c r="I91" s="876"/>
      <c r="J91" s="876"/>
      <c r="K91" s="104" t="s">
        <v>342</v>
      </c>
      <c r="L91" s="104" t="s">
        <v>343</v>
      </c>
      <c r="M91" s="876"/>
      <c r="N91" s="876"/>
      <c r="O91" s="876"/>
      <c r="P91" s="876"/>
      <c r="Q91" s="876"/>
      <c r="R91" s="876"/>
      <c r="S91" s="876"/>
      <c r="T91" s="876"/>
      <c r="U91" s="876"/>
      <c r="V91" s="876"/>
      <c r="W91" s="876"/>
      <c r="X91" s="876"/>
      <c r="Y91" s="876"/>
      <c r="Z91" s="876"/>
      <c r="AA91" s="876"/>
      <c r="AB91" s="876"/>
      <c r="AC91" s="876"/>
      <c r="AD91" s="876"/>
      <c r="AE91" s="876"/>
      <c r="AF91" s="876"/>
      <c r="AG91" s="876"/>
    </row>
    <row r="92" spans="1:34">
      <c r="A92" s="111"/>
      <c r="B92" s="107">
        <v>2019</v>
      </c>
      <c r="C92" s="107">
        <v>2020</v>
      </c>
      <c r="D92" s="107">
        <v>2021</v>
      </c>
      <c r="E92" s="107">
        <v>2022</v>
      </c>
      <c r="F92" s="107">
        <v>2023</v>
      </c>
      <c r="G92" s="112">
        <v>2025</v>
      </c>
      <c r="H92" s="85"/>
      <c r="I92" s="876"/>
      <c r="J92" s="876"/>
      <c r="K92" s="111"/>
      <c r="L92" s="112">
        <v>2025</v>
      </c>
      <c r="M92" s="876"/>
      <c r="N92" s="876"/>
      <c r="O92" s="876"/>
      <c r="P92" s="876"/>
      <c r="Q92" s="876"/>
      <c r="R92" s="876"/>
      <c r="S92" s="876"/>
      <c r="T92" s="876" t="s">
        <v>342</v>
      </c>
      <c r="U92" s="876"/>
      <c r="V92" s="876"/>
      <c r="W92" s="876"/>
      <c r="X92" s="876"/>
      <c r="Y92" s="876"/>
      <c r="Z92" s="876" t="s">
        <v>343</v>
      </c>
      <c r="AA92" s="876"/>
      <c r="AB92" s="876"/>
      <c r="AC92" s="876"/>
      <c r="AD92" s="876"/>
      <c r="AE92" s="876"/>
      <c r="AF92" s="876"/>
      <c r="AG92" s="876"/>
      <c r="AH92" s="876"/>
    </row>
    <row r="93" spans="1:34">
      <c r="A93" s="104" t="s">
        <v>93</v>
      </c>
      <c r="B93" s="93">
        <f t="shared" ref="B93:B103" si="8">(B9/B30+N51/$B$46)/B72</f>
        <v>20528.038505595425</v>
      </c>
      <c r="C93" s="93">
        <f t="shared" ref="C93:C103" si="9">(C9/C30+O51/$C$46)/C72</f>
        <v>25324.667324617905</v>
      </c>
      <c r="D93" s="93">
        <f t="shared" ref="D93:D103" si="10">(D9/D30+P51/$D$46)/D72</f>
        <v>30532.153688501377</v>
      </c>
      <c r="E93" s="93">
        <f t="shared" ref="E93:E103" si="11">(E9/E30+Q51/$E$46)/E72</f>
        <v>27881.051640817212</v>
      </c>
      <c r="F93" s="93">
        <f t="shared" ref="F93:F103" si="12">(F9/F30+R51/$F$46)/F72</f>
        <v>27343.438135823566</v>
      </c>
      <c r="G93" s="113">
        <f>SUM(B93:F93)/5</f>
        <v>26321.869859071099</v>
      </c>
      <c r="H93" s="85"/>
      <c r="I93" s="876"/>
      <c r="J93" s="876"/>
      <c r="K93" s="104" t="s">
        <v>97</v>
      </c>
      <c r="L93" s="113">
        <f t="shared" ref="L93:L108" si="13">_xlfn.XLOOKUP(K93,$A$93:$A$108,$G$93:$G$108)</f>
        <v>12796.663164119856</v>
      </c>
      <c r="M93" s="876"/>
      <c r="N93" s="876"/>
      <c r="O93" s="876"/>
      <c r="P93" s="876"/>
      <c r="Q93" s="876"/>
      <c r="R93" s="876"/>
      <c r="S93" s="876"/>
      <c r="T93" s="876"/>
      <c r="U93" s="876">
        <v>2019</v>
      </c>
      <c r="V93" s="876">
        <v>2020</v>
      </c>
      <c r="W93" s="876">
        <v>2021</v>
      </c>
      <c r="X93" s="876">
        <v>2022</v>
      </c>
      <c r="Y93" s="876">
        <v>2023</v>
      </c>
      <c r="Z93" s="876">
        <v>2025</v>
      </c>
      <c r="AA93" s="876"/>
      <c r="AB93" s="876"/>
      <c r="AC93" s="876"/>
      <c r="AD93" s="876"/>
      <c r="AE93" s="876"/>
      <c r="AF93" s="876"/>
      <c r="AG93" s="876"/>
      <c r="AH93" s="876"/>
    </row>
    <row r="94" spans="1:34">
      <c r="A94" s="104" t="s">
        <v>94</v>
      </c>
      <c r="B94" s="93">
        <f t="shared" si="8"/>
        <v>15993.326115356916</v>
      </c>
      <c r="C94" s="93">
        <f t="shared" si="9"/>
        <v>17089.343986427066</v>
      </c>
      <c r="D94" s="93">
        <f t="shared" si="10"/>
        <v>18247.818672629135</v>
      </c>
      <c r="E94" s="93">
        <f t="shared" si="11"/>
        <v>18060.792922283257</v>
      </c>
      <c r="F94" s="93">
        <f t="shared" si="12"/>
        <v>18189.929465878889</v>
      </c>
      <c r="G94" s="113">
        <f>SUM(B94:F94)/5</f>
        <v>17516.242232515051</v>
      </c>
      <c r="H94" s="85"/>
      <c r="I94" s="876"/>
      <c r="J94" s="876"/>
      <c r="K94" s="104" t="s">
        <v>101</v>
      </c>
      <c r="L94" s="113">
        <f t="shared" si="13"/>
        <v>15789.462796790885</v>
      </c>
      <c r="M94" s="876"/>
      <c r="N94" s="876"/>
      <c r="O94" s="876"/>
      <c r="P94" s="876"/>
      <c r="Q94" s="876"/>
      <c r="R94" s="876"/>
      <c r="S94" s="876"/>
      <c r="T94" s="876" t="s">
        <v>93</v>
      </c>
      <c r="U94" s="882">
        <v>20528</v>
      </c>
      <c r="V94" s="882">
        <v>25325</v>
      </c>
      <c r="W94" s="882">
        <v>30532</v>
      </c>
      <c r="X94" s="882">
        <v>27881</v>
      </c>
      <c r="Y94" s="882">
        <v>26148</v>
      </c>
      <c r="Z94" s="882">
        <v>26083</v>
      </c>
      <c r="AA94" s="876"/>
      <c r="AB94" s="882">
        <f t="shared" ref="AB94:AB110" si="14">U94-B93</f>
        <v>-3.8505595424794592E-2</v>
      </c>
      <c r="AC94" s="882">
        <f t="shared" ref="AC94:AC110" si="15">V94-C93</f>
        <v>0.33267538209474878</v>
      </c>
      <c r="AD94" s="882">
        <f t="shared" ref="AD94:AD110" si="16">W94-D93</f>
        <v>-0.15368850137747359</v>
      </c>
      <c r="AE94" s="882">
        <f t="shared" ref="AE94:AE110" si="17">X94-E93</f>
        <v>-5.1640817211591639E-2</v>
      </c>
      <c r="AF94" s="882">
        <f t="shared" ref="AF94:AF110" si="18">Y94-F93</f>
        <v>-1195.438135823566</v>
      </c>
      <c r="AG94" s="882"/>
      <c r="AH94" s="882"/>
    </row>
    <row r="95" spans="1:34">
      <c r="A95" s="104" t="s">
        <v>95</v>
      </c>
      <c r="B95" s="93">
        <f t="shared" si="8"/>
        <v>17834.441760634374</v>
      </c>
      <c r="C95" s="93">
        <f t="shared" si="9"/>
        <v>18126.664519116046</v>
      </c>
      <c r="D95" s="93">
        <f t="shared" si="10"/>
        <v>18811.148366168127</v>
      </c>
      <c r="E95" s="93">
        <f t="shared" si="11"/>
        <v>19600.278191872239</v>
      </c>
      <c r="F95" s="93">
        <f t="shared" si="12"/>
        <v>20113.307744664111</v>
      </c>
      <c r="G95" s="113">
        <f t="shared" ref="G95:G108" si="19">SUM(B95:F95)/5</f>
        <v>18897.168116490979</v>
      </c>
      <c r="H95" s="85"/>
      <c r="I95" s="876"/>
      <c r="J95" s="876"/>
      <c r="K95" s="104" t="s">
        <v>107</v>
      </c>
      <c r="L95" s="113">
        <f t="shared" si="13"/>
        <v>16118.638635739408</v>
      </c>
      <c r="M95" s="876"/>
      <c r="N95" s="876"/>
      <c r="O95" s="876"/>
      <c r="P95" s="876"/>
      <c r="Q95" s="876"/>
      <c r="R95" s="876"/>
      <c r="S95" s="876"/>
      <c r="T95" s="876" t="s">
        <v>94</v>
      </c>
      <c r="U95" s="882">
        <v>15993</v>
      </c>
      <c r="V95" s="882">
        <v>17089</v>
      </c>
      <c r="W95" s="882">
        <v>18248</v>
      </c>
      <c r="X95" s="882">
        <v>18061</v>
      </c>
      <c r="Y95" s="882">
        <v>18099</v>
      </c>
      <c r="Z95" s="882">
        <v>17498</v>
      </c>
      <c r="AA95" s="876"/>
      <c r="AB95" s="882">
        <f t="shared" si="14"/>
        <v>-0.32611535691648896</v>
      </c>
      <c r="AC95" s="882">
        <f t="shared" si="15"/>
        <v>-0.34398642706582905</v>
      </c>
      <c r="AD95" s="882">
        <f t="shared" si="16"/>
        <v>0.18132737086489215</v>
      </c>
      <c r="AE95" s="882">
        <f t="shared" si="17"/>
        <v>0.20707771674278774</v>
      </c>
      <c r="AF95" s="882">
        <f t="shared" si="18"/>
        <v>-90.929465878889459</v>
      </c>
      <c r="AG95" s="882"/>
      <c r="AH95" s="882"/>
    </row>
    <row r="96" spans="1:34">
      <c r="A96" s="104" t="s">
        <v>96</v>
      </c>
      <c r="B96" s="93">
        <f t="shared" si="8"/>
        <v>18295.65521690801</v>
      </c>
      <c r="C96" s="93">
        <f t="shared" si="9"/>
        <v>19091.994238010204</v>
      </c>
      <c r="D96" s="93">
        <f t="shared" si="10"/>
        <v>19259.457578718011</v>
      </c>
      <c r="E96" s="93">
        <f t="shared" si="11"/>
        <v>18896.825370524799</v>
      </c>
      <c r="F96" s="93">
        <f t="shared" si="12"/>
        <v>19473.577395510601</v>
      </c>
      <c r="G96" s="113">
        <f t="shared" si="19"/>
        <v>19003.501959934325</v>
      </c>
      <c r="H96" s="85"/>
      <c r="I96" s="876"/>
      <c r="J96" s="876"/>
      <c r="K96" s="104" t="s">
        <v>98</v>
      </c>
      <c r="L96" s="113">
        <f t="shared" si="13"/>
        <v>16789.391600419018</v>
      </c>
      <c r="M96" s="876"/>
      <c r="N96" s="876"/>
      <c r="O96" s="876"/>
      <c r="P96" s="876"/>
      <c r="Q96" s="876"/>
      <c r="R96" s="876"/>
      <c r="S96" s="876"/>
      <c r="T96" s="876" t="s">
        <v>95</v>
      </c>
      <c r="U96" s="882">
        <v>17834</v>
      </c>
      <c r="V96" s="882">
        <v>18127</v>
      </c>
      <c r="W96" s="882">
        <v>18811</v>
      </c>
      <c r="X96" s="882">
        <v>19600</v>
      </c>
      <c r="Y96" s="882">
        <v>19640</v>
      </c>
      <c r="Z96" s="882">
        <v>18803</v>
      </c>
      <c r="AA96" s="876"/>
      <c r="AB96" s="882">
        <f t="shared" si="14"/>
        <v>-0.4417606343740772</v>
      </c>
      <c r="AC96" s="882">
        <f t="shared" si="15"/>
        <v>0.33548088395400555</v>
      </c>
      <c r="AD96" s="882">
        <f t="shared" si="16"/>
        <v>-0.14836616812681314</v>
      </c>
      <c r="AE96" s="882">
        <f t="shared" si="17"/>
        <v>-0.27819187223940389</v>
      </c>
      <c r="AF96" s="882">
        <f t="shared" si="18"/>
        <v>-473.30774466411094</v>
      </c>
      <c r="AG96" s="882"/>
      <c r="AH96" s="882"/>
    </row>
    <row r="97" spans="1:34">
      <c r="A97" s="104" t="s">
        <v>97</v>
      </c>
      <c r="B97" s="93">
        <f t="shared" si="8"/>
        <v>12016.127746430075</v>
      </c>
      <c r="C97" s="93">
        <f t="shared" si="9"/>
        <v>12367.37634663125</v>
      </c>
      <c r="D97" s="93">
        <f t="shared" si="10"/>
        <v>12806.503867149702</v>
      </c>
      <c r="E97" s="93">
        <f t="shared" si="11"/>
        <v>12792.736400953063</v>
      </c>
      <c r="F97" s="93">
        <f t="shared" si="12"/>
        <v>14000.571459435192</v>
      </c>
      <c r="G97" s="113">
        <f t="shared" si="19"/>
        <v>12796.663164119856</v>
      </c>
      <c r="H97" s="85"/>
      <c r="I97" s="876"/>
      <c r="J97" s="876"/>
      <c r="K97" s="104" t="s">
        <v>94</v>
      </c>
      <c r="L97" s="113">
        <f t="shared" si="13"/>
        <v>17516.242232515051</v>
      </c>
      <c r="M97" s="876"/>
      <c r="N97" s="876"/>
      <c r="O97" s="876"/>
      <c r="P97" s="876"/>
      <c r="Q97" s="876"/>
      <c r="R97" s="876"/>
      <c r="S97" s="876"/>
      <c r="T97" s="876" t="s">
        <v>96</v>
      </c>
      <c r="U97" s="882">
        <v>18296</v>
      </c>
      <c r="V97" s="882">
        <v>19092</v>
      </c>
      <c r="W97" s="882">
        <v>19259</v>
      </c>
      <c r="X97" s="882">
        <v>18897</v>
      </c>
      <c r="Y97" s="882">
        <v>18783</v>
      </c>
      <c r="Z97" s="882">
        <v>18865</v>
      </c>
      <c r="AA97" s="876"/>
      <c r="AB97" s="882">
        <f t="shared" si="14"/>
        <v>0.34478309199039359</v>
      </c>
      <c r="AC97" s="882">
        <f t="shared" si="15"/>
        <v>5.7619897961558308E-3</v>
      </c>
      <c r="AD97" s="882">
        <f t="shared" si="16"/>
        <v>-0.45757871801106376</v>
      </c>
      <c r="AE97" s="882">
        <f t="shared" si="17"/>
        <v>0.17462947520107264</v>
      </c>
      <c r="AF97" s="882">
        <f t="shared" si="18"/>
        <v>-690.57739551060149</v>
      </c>
      <c r="AG97" s="882"/>
      <c r="AH97" s="882"/>
    </row>
    <row r="98" spans="1:34">
      <c r="A98" s="104" t="s">
        <v>98</v>
      </c>
      <c r="B98" s="93">
        <f t="shared" si="8"/>
        <v>15513.89658286212</v>
      </c>
      <c r="C98" s="93">
        <f t="shared" si="9"/>
        <v>16008.213548061594</v>
      </c>
      <c r="D98" s="93">
        <f t="shared" si="10"/>
        <v>16718.211879257549</v>
      </c>
      <c r="E98" s="93">
        <f t="shared" si="11"/>
        <v>17217.703969112772</v>
      </c>
      <c r="F98" s="93">
        <f t="shared" si="12"/>
        <v>18488.932022801044</v>
      </c>
      <c r="G98" s="113">
        <f t="shared" si="19"/>
        <v>16789.391600419018</v>
      </c>
      <c r="H98" s="85"/>
      <c r="I98" s="876"/>
      <c r="J98" s="876"/>
      <c r="K98" s="104" t="s">
        <v>106</v>
      </c>
      <c r="L98" s="113">
        <f t="shared" si="13"/>
        <v>17912.745198045399</v>
      </c>
      <c r="M98" s="876"/>
      <c r="N98" s="876"/>
      <c r="O98" s="876"/>
      <c r="P98" s="876"/>
      <c r="Q98" s="876"/>
      <c r="R98" s="876"/>
      <c r="S98" s="876"/>
      <c r="T98" s="876" t="s">
        <v>97</v>
      </c>
      <c r="U98" s="882">
        <v>12016</v>
      </c>
      <c r="V98" s="882">
        <v>12367</v>
      </c>
      <c r="W98" s="882">
        <v>12807</v>
      </c>
      <c r="X98" s="882">
        <v>12793</v>
      </c>
      <c r="Y98" s="882">
        <v>13865</v>
      </c>
      <c r="Z98" s="882">
        <v>12770</v>
      </c>
      <c r="AA98" s="876"/>
      <c r="AB98" s="882">
        <f t="shared" si="14"/>
        <v>-0.12774643007469422</v>
      </c>
      <c r="AC98" s="882">
        <f t="shared" si="15"/>
        <v>-0.37634663125027146</v>
      </c>
      <c r="AD98" s="882">
        <f t="shared" si="16"/>
        <v>0.49613285029772669</v>
      </c>
      <c r="AE98" s="882">
        <f t="shared" si="17"/>
        <v>0.26359904693708813</v>
      </c>
      <c r="AF98" s="882">
        <f t="shared" si="18"/>
        <v>-135.57145943519208</v>
      </c>
      <c r="AG98" s="882"/>
      <c r="AH98" s="882"/>
    </row>
    <row r="99" spans="1:34">
      <c r="A99" s="104" t="s">
        <v>99</v>
      </c>
      <c r="B99" s="93">
        <f t="shared" si="8"/>
        <v>20924.242532255368</v>
      </c>
      <c r="C99" s="93">
        <f t="shared" si="9"/>
        <v>21317.044078776569</v>
      </c>
      <c r="D99" s="93">
        <f t="shared" si="10"/>
        <v>22171.535595720612</v>
      </c>
      <c r="E99" s="93">
        <f t="shared" si="11"/>
        <v>22302.830541267758</v>
      </c>
      <c r="F99" s="93">
        <f t="shared" si="12"/>
        <v>23621.825702419501</v>
      </c>
      <c r="G99" s="113">
        <f t="shared" si="19"/>
        <v>22067.495690087962</v>
      </c>
      <c r="H99" s="85"/>
      <c r="I99" s="876"/>
      <c r="J99" s="876"/>
      <c r="K99" s="104" t="s">
        <v>95</v>
      </c>
      <c r="L99" s="113">
        <f t="shared" si="13"/>
        <v>18897.168116490979</v>
      </c>
      <c r="M99" s="876"/>
      <c r="N99" s="876"/>
      <c r="O99" s="876"/>
      <c r="P99" s="876"/>
      <c r="Q99" s="876"/>
      <c r="R99" s="876"/>
      <c r="S99" s="876"/>
      <c r="T99" s="876" t="s">
        <v>98</v>
      </c>
      <c r="U99" s="882">
        <v>15514</v>
      </c>
      <c r="V99" s="882">
        <v>16008</v>
      </c>
      <c r="W99" s="882">
        <v>16718</v>
      </c>
      <c r="X99" s="882">
        <v>17218</v>
      </c>
      <c r="Y99" s="882">
        <v>18108</v>
      </c>
      <c r="Z99" s="882">
        <v>16713</v>
      </c>
      <c r="AA99" s="876"/>
      <c r="AB99" s="882">
        <f t="shared" si="14"/>
        <v>0.10341713787966</v>
      </c>
      <c r="AC99" s="882">
        <f t="shared" si="15"/>
        <v>-0.21354806159433792</v>
      </c>
      <c r="AD99" s="882">
        <f t="shared" si="16"/>
        <v>-0.21187925754929893</v>
      </c>
      <c r="AE99" s="882">
        <f t="shared" si="17"/>
        <v>0.29603088722797111</v>
      </c>
      <c r="AF99" s="882">
        <f t="shared" si="18"/>
        <v>-380.93202280104379</v>
      </c>
      <c r="AG99" s="882"/>
      <c r="AH99" s="882"/>
    </row>
    <row r="100" spans="1:34">
      <c r="A100" s="104" t="s">
        <v>100</v>
      </c>
      <c r="B100" s="93">
        <f t="shared" si="8"/>
        <v>18624.699034854784</v>
      </c>
      <c r="C100" s="93">
        <f t="shared" si="9"/>
        <v>18774.976352823061</v>
      </c>
      <c r="D100" s="93">
        <f t="shared" si="10"/>
        <v>19526.010358093725</v>
      </c>
      <c r="E100" s="93">
        <f t="shared" si="11"/>
        <v>19730.498352161758</v>
      </c>
      <c r="F100" s="93">
        <f t="shared" si="12"/>
        <v>20447.692558698873</v>
      </c>
      <c r="G100" s="113">
        <f t="shared" si="19"/>
        <v>19420.77533132644</v>
      </c>
      <c r="H100" s="85"/>
      <c r="I100" s="876"/>
      <c r="J100" s="876"/>
      <c r="K100" s="104" t="s">
        <v>96</v>
      </c>
      <c r="L100" s="113">
        <f t="shared" si="13"/>
        <v>19003.501959934325</v>
      </c>
      <c r="M100" s="876"/>
      <c r="N100" s="876"/>
      <c r="O100" s="876"/>
      <c r="P100" s="876"/>
      <c r="Q100" s="876"/>
      <c r="R100" s="876"/>
      <c r="S100" s="876"/>
      <c r="T100" s="876" t="s">
        <v>99</v>
      </c>
      <c r="U100" s="882">
        <v>20924</v>
      </c>
      <c r="V100" s="882">
        <v>21317</v>
      </c>
      <c r="W100" s="882">
        <v>22172</v>
      </c>
      <c r="X100" s="882">
        <v>22303</v>
      </c>
      <c r="Y100" s="882">
        <v>23068</v>
      </c>
      <c r="Z100" s="882">
        <v>21957</v>
      </c>
      <c r="AA100" s="876"/>
      <c r="AB100" s="882">
        <f t="shared" si="14"/>
        <v>-0.24253225536813261</v>
      </c>
      <c r="AC100" s="882">
        <f t="shared" si="15"/>
        <v>-4.40787765692221E-2</v>
      </c>
      <c r="AD100" s="882">
        <f t="shared" si="16"/>
        <v>0.46440427938796347</v>
      </c>
      <c r="AE100" s="882">
        <f t="shared" si="17"/>
        <v>0.16945873224176466</v>
      </c>
      <c r="AF100" s="882">
        <f t="shared" si="18"/>
        <v>-553.82570241950089</v>
      </c>
      <c r="AG100" s="882"/>
      <c r="AH100" s="882"/>
    </row>
    <row r="101" spans="1:34">
      <c r="A101" s="104" t="s">
        <v>101</v>
      </c>
      <c r="B101" s="93">
        <f t="shared" si="8"/>
        <v>15079.13583446046</v>
      </c>
      <c r="C101" s="93">
        <f t="shared" si="9"/>
        <v>15043.80974257223</v>
      </c>
      <c r="D101" s="93">
        <f t="shared" si="10"/>
        <v>18581.980644992418</v>
      </c>
      <c r="E101" s="93">
        <f t="shared" si="11"/>
        <v>15452.134204579565</v>
      </c>
      <c r="F101" s="93">
        <f t="shared" si="12"/>
        <v>14790.253557349753</v>
      </c>
      <c r="G101" s="113">
        <f t="shared" si="19"/>
        <v>15789.462796790885</v>
      </c>
      <c r="H101" s="85"/>
      <c r="I101" s="876"/>
      <c r="J101" s="876"/>
      <c r="K101" s="104" t="s">
        <v>100</v>
      </c>
      <c r="L101" s="113">
        <f t="shared" si="13"/>
        <v>19420.77533132644</v>
      </c>
      <c r="M101" s="876"/>
      <c r="N101" s="876"/>
      <c r="O101" s="876"/>
      <c r="P101" s="876"/>
      <c r="Q101" s="876"/>
      <c r="R101" s="876"/>
      <c r="S101" s="876"/>
      <c r="T101" s="876" t="s">
        <v>100</v>
      </c>
      <c r="U101" s="882">
        <v>18625</v>
      </c>
      <c r="V101" s="882">
        <v>18775</v>
      </c>
      <c r="W101" s="882">
        <v>19526</v>
      </c>
      <c r="X101" s="882">
        <v>19730</v>
      </c>
      <c r="Y101" s="882">
        <v>20366</v>
      </c>
      <c r="Z101" s="882">
        <v>19404</v>
      </c>
      <c r="AA101" s="876"/>
      <c r="AB101" s="882">
        <f t="shared" si="14"/>
        <v>0.30096514521574136</v>
      </c>
      <c r="AC101" s="882">
        <f t="shared" si="15"/>
        <v>2.3647176938538905E-2</v>
      </c>
      <c r="AD101" s="882">
        <f t="shared" si="16"/>
        <v>-1.0358093724789796E-2</v>
      </c>
      <c r="AE101" s="882">
        <f t="shared" si="17"/>
        <v>-0.49835216175779351</v>
      </c>
      <c r="AF101" s="882">
        <f t="shared" si="18"/>
        <v>-81.692558698872745</v>
      </c>
      <c r="AG101" s="882"/>
      <c r="AH101" s="882"/>
    </row>
    <row r="102" spans="1:34">
      <c r="A102" s="104" t="s">
        <v>102</v>
      </c>
      <c r="B102" s="93">
        <f t="shared" si="8"/>
        <v>18474.224705866494</v>
      </c>
      <c r="C102" s="93">
        <f t="shared" si="9"/>
        <v>19047.83498996048</v>
      </c>
      <c r="D102" s="93">
        <f t="shared" si="10"/>
        <v>20171.455916924708</v>
      </c>
      <c r="E102" s="93">
        <f t="shared" si="11"/>
        <v>20352.74683186553</v>
      </c>
      <c r="F102" s="93">
        <f t="shared" si="12"/>
        <v>21196.98562073199</v>
      </c>
      <c r="G102" s="113">
        <f t="shared" si="19"/>
        <v>19848.649613069843</v>
      </c>
      <c r="H102" s="85"/>
      <c r="I102" s="876"/>
      <c r="J102" s="876"/>
      <c r="K102" s="104" t="s">
        <v>105</v>
      </c>
      <c r="L102" s="113">
        <f t="shared" si="13"/>
        <v>19825.193366173513</v>
      </c>
      <c r="M102" s="876"/>
      <c r="N102" s="876"/>
      <c r="O102" s="876"/>
      <c r="P102" s="876"/>
      <c r="Q102" s="876"/>
      <c r="R102" s="876"/>
      <c r="S102" s="876"/>
      <c r="T102" s="876" t="s">
        <v>101</v>
      </c>
      <c r="U102" s="882">
        <v>15079</v>
      </c>
      <c r="V102" s="882">
        <v>15044</v>
      </c>
      <c r="W102" s="882">
        <v>18582</v>
      </c>
      <c r="X102" s="882">
        <v>15452</v>
      </c>
      <c r="Y102" s="882">
        <v>14979</v>
      </c>
      <c r="Z102" s="882">
        <v>15827</v>
      </c>
      <c r="AA102" s="876"/>
      <c r="AB102" s="882">
        <f t="shared" si="14"/>
        <v>-0.13583446045959136</v>
      </c>
      <c r="AC102" s="882">
        <f t="shared" si="15"/>
        <v>0.19025742777012056</v>
      </c>
      <c r="AD102" s="882">
        <f t="shared" si="16"/>
        <v>1.9355007581907557E-2</v>
      </c>
      <c r="AE102" s="882">
        <f t="shared" si="17"/>
        <v>-0.13420457956453902</v>
      </c>
      <c r="AF102" s="882">
        <f t="shared" si="18"/>
        <v>188.74644265024654</v>
      </c>
      <c r="AG102" s="882"/>
      <c r="AH102" s="882"/>
    </row>
    <row r="103" spans="1:34">
      <c r="A103" s="104" t="s">
        <v>103</v>
      </c>
      <c r="B103" s="93">
        <f t="shared" si="8"/>
        <v>18781.340959871075</v>
      </c>
      <c r="C103" s="93">
        <f t="shared" si="9"/>
        <v>19496.058848007848</v>
      </c>
      <c r="D103" s="93">
        <f t="shared" si="10"/>
        <v>20717.177159745424</v>
      </c>
      <c r="E103" s="93">
        <f t="shared" si="11"/>
        <v>20716.044185858365</v>
      </c>
      <c r="F103" s="93">
        <f t="shared" si="12"/>
        <v>20872.680718582476</v>
      </c>
      <c r="G103" s="113">
        <f t="shared" si="19"/>
        <v>20116.660374413037</v>
      </c>
      <c r="H103" s="85"/>
      <c r="I103" s="876"/>
      <c r="J103" s="876"/>
      <c r="K103" s="104" t="s">
        <v>102</v>
      </c>
      <c r="L103" s="113">
        <f t="shared" si="13"/>
        <v>19848.649613069843</v>
      </c>
      <c r="M103" s="876"/>
      <c r="N103" s="876"/>
      <c r="O103" s="876"/>
      <c r="P103" s="876"/>
      <c r="Q103" s="876"/>
      <c r="R103" s="876"/>
      <c r="S103" s="876"/>
      <c r="T103" s="876" t="s">
        <v>102</v>
      </c>
      <c r="U103" s="882">
        <v>18474</v>
      </c>
      <c r="V103" s="882">
        <v>19048</v>
      </c>
      <c r="W103" s="882">
        <v>20171</v>
      </c>
      <c r="X103" s="882">
        <v>20353</v>
      </c>
      <c r="Y103" s="882">
        <v>21048</v>
      </c>
      <c r="Z103" s="882">
        <v>19819</v>
      </c>
      <c r="AA103" s="876"/>
      <c r="AB103" s="882">
        <f t="shared" si="14"/>
        <v>-0.22470586649433244</v>
      </c>
      <c r="AC103" s="882">
        <f t="shared" si="15"/>
        <v>0.16501003951998428</v>
      </c>
      <c r="AD103" s="882">
        <f t="shared" si="16"/>
        <v>-0.45591692470770795</v>
      </c>
      <c r="AE103" s="882">
        <f t="shared" si="17"/>
        <v>0.25316813446988817</v>
      </c>
      <c r="AF103" s="882">
        <f t="shared" si="18"/>
        <v>-148.98562073198991</v>
      </c>
      <c r="AG103" s="882"/>
      <c r="AH103" s="882"/>
    </row>
    <row r="104" spans="1:34">
      <c r="A104" s="104" t="s">
        <v>104</v>
      </c>
      <c r="B104" s="93">
        <f>(B21/B41+N63/$B$46)/B83</f>
        <v>18956.368920236444</v>
      </c>
      <c r="C104" s="93">
        <f>(C21/C41+O63/$C$46)/C83</f>
        <v>19859.208550942516</v>
      </c>
      <c r="D104" s="93">
        <f>(D21/D41+P63/$D$46)/D83</f>
        <v>21657.587273045825</v>
      </c>
      <c r="E104" s="93">
        <f>(E21/E41+Q63/$E$46)/E83</f>
        <v>21158.578293879858</v>
      </c>
      <c r="F104" s="93">
        <f>(F21/F41+R63/$F$46)/F83</f>
        <v>23452.433621693126</v>
      </c>
      <c r="G104" s="113">
        <f t="shared" si="19"/>
        <v>21016.835331959555</v>
      </c>
      <c r="H104" s="85"/>
      <c r="I104" s="876"/>
      <c r="J104" s="876"/>
      <c r="K104" s="104" t="s">
        <v>103</v>
      </c>
      <c r="L104" s="113">
        <f t="shared" si="13"/>
        <v>20116.660374413037</v>
      </c>
      <c r="M104" s="876"/>
      <c r="N104" s="876"/>
      <c r="O104" s="876"/>
      <c r="P104" s="876"/>
      <c r="Q104" s="876"/>
      <c r="R104" s="876"/>
      <c r="S104" s="876"/>
      <c r="T104" s="876" t="s">
        <v>103</v>
      </c>
      <c r="U104" s="882">
        <v>18781</v>
      </c>
      <c r="V104" s="882">
        <v>19496</v>
      </c>
      <c r="W104" s="882">
        <v>20717</v>
      </c>
      <c r="X104" s="882">
        <v>20716</v>
      </c>
      <c r="Y104" s="882">
        <v>20426</v>
      </c>
      <c r="Z104" s="882">
        <v>20027</v>
      </c>
      <c r="AA104" s="876"/>
      <c r="AB104" s="882">
        <f t="shared" si="14"/>
        <v>-0.34095987107502879</v>
      </c>
      <c r="AC104" s="882">
        <f t="shared" si="15"/>
        <v>-5.8848007847700501E-2</v>
      </c>
      <c r="AD104" s="882">
        <f t="shared" si="16"/>
        <v>-0.17715974542443291</v>
      </c>
      <c r="AE104" s="882">
        <f t="shared" si="17"/>
        <v>-4.4185858365381137E-2</v>
      </c>
      <c r="AF104" s="882">
        <f t="shared" si="18"/>
        <v>-446.6807185824764</v>
      </c>
      <c r="AG104" s="882"/>
      <c r="AH104" s="882"/>
    </row>
    <row r="105" spans="1:34">
      <c r="A105" s="104" t="s">
        <v>105</v>
      </c>
      <c r="B105" s="93">
        <f>(B22/B42+N64/$B$46)/B84</f>
        <v>19848.94766459462</v>
      </c>
      <c r="C105" s="93">
        <f>(C22/C42+O64/$C$46)/C84</f>
        <v>20532.981698178282</v>
      </c>
      <c r="D105" s="93">
        <f>(D22/D42+P64/$D$46)/D84</f>
        <v>20519.505141318634</v>
      </c>
      <c r="E105" s="93">
        <f>(E22/E42+Q64/$E$46)/E84</f>
        <v>18660.912825324216</v>
      </c>
      <c r="F105" s="93">
        <f>(F22/F42+R64/$F$46)/F84</f>
        <v>19563.619501451805</v>
      </c>
      <c r="G105" s="113">
        <f t="shared" si="19"/>
        <v>19825.193366173513</v>
      </c>
      <c r="H105" s="85"/>
      <c r="I105" s="876"/>
      <c r="J105" s="876"/>
      <c r="K105" s="104" t="s">
        <v>104</v>
      </c>
      <c r="L105" s="113">
        <f t="shared" si="13"/>
        <v>21016.835331959555</v>
      </c>
      <c r="M105" s="876"/>
      <c r="N105" s="876"/>
      <c r="O105" s="876"/>
      <c r="P105" s="876"/>
      <c r="Q105" s="876"/>
      <c r="R105" s="876"/>
      <c r="S105" s="876"/>
      <c r="T105" s="876" t="s">
        <v>104</v>
      </c>
      <c r="U105" s="882">
        <v>18956</v>
      </c>
      <c r="V105" s="882">
        <v>19859</v>
      </c>
      <c r="W105" s="882">
        <v>21658</v>
      </c>
      <c r="X105" s="882">
        <v>21159</v>
      </c>
      <c r="Y105" s="882">
        <v>21863</v>
      </c>
      <c r="Z105" s="882">
        <v>20699</v>
      </c>
      <c r="AA105" s="876"/>
      <c r="AB105" s="882">
        <f t="shared" si="14"/>
        <v>-0.36892023644395522</v>
      </c>
      <c r="AC105" s="882">
        <f t="shared" si="15"/>
        <v>-0.20855094251601258</v>
      </c>
      <c r="AD105" s="882">
        <f t="shared" si="16"/>
        <v>0.41272695417501382</v>
      </c>
      <c r="AE105" s="882">
        <f t="shared" si="17"/>
        <v>0.42170612014160724</v>
      </c>
      <c r="AF105" s="882">
        <f t="shared" si="18"/>
        <v>-1589.433621693126</v>
      </c>
      <c r="AG105" s="882"/>
      <c r="AH105" s="882"/>
    </row>
    <row r="106" spans="1:34">
      <c r="A106" s="104" t="s">
        <v>106</v>
      </c>
      <c r="B106" s="93">
        <f>(B23/B43+N65/$B$46)/B85</f>
        <v>16742.347036422372</v>
      </c>
      <c r="C106" s="93">
        <f>(C23/C43+O65/$C$46)/C85</f>
        <v>17396.602777838158</v>
      </c>
      <c r="D106" s="93">
        <f>(D23/D43+P65/$D$46)/D85</f>
        <v>18504.426916833807</v>
      </c>
      <c r="E106" s="93">
        <f>(E23/E43+Q65/$E$46)/E85</f>
        <v>18438.05537183347</v>
      </c>
      <c r="F106" s="93">
        <f>(F23/F43+R65/$F$46)/F85</f>
        <v>18482.293887299187</v>
      </c>
      <c r="G106" s="113">
        <f t="shared" si="19"/>
        <v>17912.745198045399</v>
      </c>
      <c r="H106" s="85"/>
      <c r="I106" s="876"/>
      <c r="J106" s="876"/>
      <c r="K106" s="104" t="s">
        <v>99</v>
      </c>
      <c r="L106" s="113">
        <f t="shared" si="13"/>
        <v>22067.495690087962</v>
      </c>
      <c r="M106" s="876"/>
      <c r="N106" s="876"/>
      <c r="O106" s="876"/>
      <c r="P106" s="876"/>
      <c r="Q106" s="876"/>
      <c r="R106" s="876"/>
      <c r="S106" s="876"/>
      <c r="T106" s="876" t="s">
        <v>105</v>
      </c>
      <c r="U106" s="882">
        <v>19849</v>
      </c>
      <c r="V106" s="882">
        <v>20533</v>
      </c>
      <c r="W106" s="882">
        <v>20520</v>
      </c>
      <c r="X106" s="882">
        <v>18661</v>
      </c>
      <c r="Y106" s="882">
        <v>19855</v>
      </c>
      <c r="Z106" s="882">
        <v>19883</v>
      </c>
      <c r="AA106" s="876"/>
      <c r="AB106" s="882">
        <f t="shared" si="14"/>
        <v>5.2335405380290467E-2</v>
      </c>
      <c r="AC106" s="882">
        <f t="shared" si="15"/>
        <v>1.8301821717614075E-2</v>
      </c>
      <c r="AD106" s="882">
        <f t="shared" si="16"/>
        <v>0.49485868136616773</v>
      </c>
      <c r="AE106" s="882">
        <f t="shared" si="17"/>
        <v>8.7174675783899147E-2</v>
      </c>
      <c r="AF106" s="882">
        <f t="shared" si="18"/>
        <v>291.38049854819474</v>
      </c>
      <c r="AG106" s="882"/>
      <c r="AH106" s="882"/>
    </row>
    <row r="107" spans="1:34">
      <c r="A107" s="104" t="s">
        <v>107</v>
      </c>
      <c r="B107" s="93">
        <f>(B24/B44+N66/$B$46)/B86</f>
        <v>15746.268371688955</v>
      </c>
      <c r="C107" s="93">
        <f>(C24/C44+O66/$C$46)/C86</f>
        <v>15725.674911789247</v>
      </c>
      <c r="D107" s="93">
        <f>(D24/D44+P66/$D$46)/D86</f>
        <v>15610.938006173916</v>
      </c>
      <c r="E107" s="93">
        <f>(E24/E44+Q66/$E$46)/E86</f>
        <v>16353.268987912024</v>
      </c>
      <c r="F107" s="93">
        <f>(F24/F44+R66/$F$46)/F86</f>
        <v>17157.0429011329</v>
      </c>
      <c r="G107" s="113">
        <f t="shared" si="19"/>
        <v>16118.638635739408</v>
      </c>
      <c r="H107" s="85"/>
      <c r="I107" s="876"/>
      <c r="J107" s="876"/>
      <c r="K107" s="104" t="s">
        <v>108</v>
      </c>
      <c r="L107" s="113">
        <f t="shared" si="13"/>
        <v>25027.216797611276</v>
      </c>
      <c r="M107" s="876"/>
      <c r="N107" s="876"/>
      <c r="O107" s="876"/>
      <c r="P107" s="876"/>
      <c r="Q107" s="876"/>
      <c r="R107" s="876"/>
      <c r="S107" s="876"/>
      <c r="T107" s="876" t="s">
        <v>106</v>
      </c>
      <c r="U107" s="882">
        <v>16742</v>
      </c>
      <c r="V107" s="882">
        <v>17397</v>
      </c>
      <c r="W107" s="882">
        <v>18504</v>
      </c>
      <c r="X107" s="882">
        <v>18438</v>
      </c>
      <c r="Y107" s="882">
        <v>18010</v>
      </c>
      <c r="Z107" s="882">
        <v>17818</v>
      </c>
      <c r="AA107" s="876"/>
      <c r="AB107" s="882">
        <f t="shared" si="14"/>
        <v>-0.34703642237218446</v>
      </c>
      <c r="AC107" s="882">
        <f t="shared" si="15"/>
        <v>0.39722216184236459</v>
      </c>
      <c r="AD107" s="882">
        <f t="shared" si="16"/>
        <v>-0.42691683380689938</v>
      </c>
      <c r="AE107" s="882">
        <f t="shared" si="17"/>
        <v>-5.5371833470417187E-2</v>
      </c>
      <c r="AF107" s="882">
        <f t="shared" si="18"/>
        <v>-472.29388729918719</v>
      </c>
      <c r="AG107" s="882"/>
      <c r="AH107" s="882"/>
    </row>
    <row r="108" spans="1:34">
      <c r="A108" s="103" t="s">
        <v>108</v>
      </c>
      <c r="B108" s="94">
        <f>(B20/B45+N62/$B$46)/B87</f>
        <v>23939.304052989592</v>
      </c>
      <c r="C108" s="94">
        <f>(C20/C45+O62/$C$46)/C87</f>
        <v>24120.414643653017</v>
      </c>
      <c r="D108" s="94">
        <f>(D20/D45+P62/$D$46)/D87</f>
        <v>25420.789321557815</v>
      </c>
      <c r="E108" s="94">
        <f>(E20/E45+Q62/$E$46)/E87</f>
        <v>25140.646168163439</v>
      </c>
      <c r="F108" s="94">
        <f>(F20/F45+R62/$F$46)/F87</f>
        <v>26514.929801692513</v>
      </c>
      <c r="G108" s="114">
        <f t="shared" si="19"/>
        <v>25027.216797611276</v>
      </c>
      <c r="H108" s="85"/>
      <c r="I108" s="876"/>
      <c r="J108" s="876"/>
      <c r="K108" s="103" t="s">
        <v>93</v>
      </c>
      <c r="L108" s="113">
        <f t="shared" si="13"/>
        <v>26321.869859071099</v>
      </c>
      <c r="M108" s="876"/>
      <c r="N108" s="876"/>
      <c r="O108" s="876"/>
      <c r="P108" s="876"/>
      <c r="Q108" s="876"/>
      <c r="R108" s="876"/>
      <c r="S108" s="876"/>
      <c r="T108" s="876" t="s">
        <v>107</v>
      </c>
      <c r="U108" s="882">
        <v>15746</v>
      </c>
      <c r="V108" s="882">
        <v>15726</v>
      </c>
      <c r="W108" s="882">
        <v>15611</v>
      </c>
      <c r="X108" s="882">
        <v>16353</v>
      </c>
      <c r="Y108" s="882">
        <v>17018</v>
      </c>
      <c r="Z108" s="882">
        <v>16091</v>
      </c>
      <c r="AA108" s="876"/>
      <c r="AB108" s="882">
        <f t="shared" si="14"/>
        <v>-0.26837168895508512</v>
      </c>
      <c r="AC108" s="882">
        <f t="shared" si="15"/>
        <v>0.32508821075316519</v>
      </c>
      <c r="AD108" s="882">
        <f t="shared" si="16"/>
        <v>6.1993826084290049E-2</v>
      </c>
      <c r="AE108" s="882">
        <f t="shared" si="17"/>
        <v>-0.26898791202438588</v>
      </c>
      <c r="AF108" s="882">
        <f t="shared" si="18"/>
        <v>-139.04290113289971</v>
      </c>
      <c r="AG108" s="882"/>
      <c r="AH108" s="882"/>
    </row>
    <row r="109" spans="1:34">
      <c r="A109" s="85" t="s">
        <v>344</v>
      </c>
      <c r="B109" s="93">
        <f>(B25+N67)/B46/B88</f>
        <v>20578.547615114305</v>
      </c>
      <c r="C109" s="93">
        <f>(C25+O67)/C46/C88</f>
        <v>21027.54904964245</v>
      </c>
      <c r="D109" s="93">
        <f>(D25+P67)/D46/D88</f>
        <v>22173.152135158758</v>
      </c>
      <c r="E109" s="93">
        <f>(E25+Q67)/E46/E88</f>
        <v>22096.897406155389</v>
      </c>
      <c r="F109" s="93">
        <f>(F25+R67)/F46/F88</f>
        <v>23236.054267254854</v>
      </c>
      <c r="G109" s="93"/>
      <c r="H109" s="876"/>
      <c r="I109" s="876"/>
      <c r="J109" s="876"/>
      <c r="K109" s="85" t="s">
        <v>344</v>
      </c>
      <c r="L109" s="876"/>
      <c r="M109" s="876"/>
      <c r="N109" s="876"/>
      <c r="O109" s="876"/>
      <c r="P109" s="876"/>
      <c r="Q109" s="876"/>
      <c r="R109" s="876"/>
      <c r="S109" s="876"/>
      <c r="T109" s="876" t="s">
        <v>108</v>
      </c>
      <c r="U109" s="882">
        <v>23939</v>
      </c>
      <c r="V109" s="882">
        <v>24120</v>
      </c>
      <c r="W109" s="882">
        <v>25421</v>
      </c>
      <c r="X109" s="882">
        <v>25141</v>
      </c>
      <c r="Y109" s="882">
        <v>25404</v>
      </c>
      <c r="Z109" s="882">
        <v>24805</v>
      </c>
      <c r="AA109" s="876"/>
      <c r="AB109" s="882">
        <f t="shared" si="14"/>
        <v>-0.30405298959158245</v>
      </c>
      <c r="AC109" s="882">
        <f t="shared" si="15"/>
        <v>-0.41464365301726502</v>
      </c>
      <c r="AD109" s="882">
        <f t="shared" si="16"/>
        <v>0.21067844218487153</v>
      </c>
      <c r="AE109" s="882">
        <f t="shared" si="17"/>
        <v>0.35383183656085748</v>
      </c>
      <c r="AF109" s="882">
        <f t="shared" si="18"/>
        <v>-1110.9298016925131</v>
      </c>
      <c r="AG109" s="882"/>
      <c r="AH109" s="882"/>
    </row>
    <row r="110" spans="1:34">
      <c r="A110" s="85"/>
      <c r="B110" s="93"/>
      <c r="C110" s="93"/>
      <c r="D110" s="93"/>
      <c r="E110" s="93"/>
      <c r="F110" s="93"/>
      <c r="G110" s="85"/>
      <c r="H110" s="876"/>
      <c r="I110" s="876"/>
      <c r="J110" s="876"/>
      <c r="K110" s="876"/>
      <c r="L110" s="876"/>
      <c r="M110" s="876"/>
      <c r="N110" s="876"/>
      <c r="O110" s="876"/>
      <c r="P110" s="876"/>
      <c r="Q110" s="876"/>
      <c r="R110" s="876"/>
      <c r="S110" s="876"/>
      <c r="T110" s="876" t="s">
        <v>344</v>
      </c>
      <c r="U110" s="882">
        <v>20579</v>
      </c>
      <c r="V110" s="882">
        <v>21028</v>
      </c>
      <c r="W110" s="882">
        <v>22173</v>
      </c>
      <c r="X110" s="882">
        <v>22097</v>
      </c>
      <c r="Y110" s="882">
        <v>22460</v>
      </c>
      <c r="Z110" s="876"/>
      <c r="AA110" s="876"/>
      <c r="AB110" s="882">
        <f t="shared" si="14"/>
        <v>0.45238488569520996</v>
      </c>
      <c r="AC110" s="882">
        <f t="shared" si="15"/>
        <v>0.45095035755002755</v>
      </c>
      <c r="AD110" s="882">
        <f t="shared" si="16"/>
        <v>-0.15213515875802841</v>
      </c>
      <c r="AE110" s="882">
        <f t="shared" si="17"/>
        <v>0.10259384461096488</v>
      </c>
      <c r="AF110" s="882">
        <f t="shared" si="18"/>
        <v>-776.05426725485449</v>
      </c>
      <c r="AG110" s="882"/>
      <c r="AH110" s="882"/>
    </row>
    <row r="111" spans="1:34">
      <c r="A111" s="104"/>
      <c r="B111" s="93"/>
      <c r="C111" s="93"/>
      <c r="D111" s="93"/>
      <c r="E111" s="93"/>
      <c r="F111" s="93"/>
      <c r="G111" s="93"/>
      <c r="H111" s="85"/>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row>
    <row r="112" spans="1:34">
      <c r="A112" s="104" t="s">
        <v>345</v>
      </c>
      <c r="B112" s="85"/>
      <c r="C112" s="93"/>
      <c r="D112" s="93"/>
      <c r="E112" s="85"/>
      <c r="F112" s="93"/>
      <c r="G112" s="93"/>
      <c r="H112" s="85"/>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76"/>
      <c r="AF112" s="876"/>
      <c r="AG112" s="876"/>
    </row>
    <row r="113" spans="1:17">
      <c r="A113" s="111"/>
      <c r="B113" s="111"/>
      <c r="C113" s="107">
        <v>2025</v>
      </c>
      <c r="D113" s="85"/>
      <c r="E113" s="93"/>
      <c r="F113" s="93"/>
      <c r="G113" s="93"/>
      <c r="H113" s="85"/>
      <c r="I113" s="876"/>
      <c r="J113" s="876"/>
      <c r="K113" s="876"/>
      <c r="L113" s="876"/>
      <c r="M113" s="876"/>
      <c r="N113" s="876"/>
      <c r="O113" s="876"/>
      <c r="P113" s="876"/>
      <c r="Q113" s="876"/>
    </row>
    <row r="114" spans="1:17">
      <c r="A114" s="85" t="s">
        <v>346</v>
      </c>
      <c r="B114" s="85"/>
      <c r="C114" s="85">
        <v>1.1599999999999999</v>
      </c>
      <c r="D114" s="85"/>
      <c r="E114" s="85"/>
      <c r="F114" s="85"/>
      <c r="G114" s="85"/>
      <c r="H114" s="85"/>
      <c r="I114" s="876"/>
      <c r="J114" s="876"/>
      <c r="K114" s="876"/>
      <c r="L114" s="876"/>
      <c r="M114" s="876"/>
      <c r="N114" s="876"/>
      <c r="O114" s="876"/>
      <c r="P114" s="876"/>
      <c r="Q114" s="876"/>
    </row>
    <row r="115" spans="1:17">
      <c r="A115" s="85"/>
      <c r="B115" s="85"/>
      <c r="C115" s="85"/>
      <c r="D115" s="85"/>
      <c r="E115" s="85"/>
      <c r="F115" s="117"/>
      <c r="G115" s="85"/>
      <c r="H115" s="85"/>
      <c r="I115" s="876"/>
      <c r="J115" s="876"/>
      <c r="K115" s="876"/>
      <c r="L115" s="876"/>
      <c r="M115" s="876"/>
      <c r="N115" s="876"/>
      <c r="O115" s="876"/>
      <c r="P115" s="876"/>
      <c r="Q115" s="876"/>
    </row>
    <row r="116" spans="1:17">
      <c r="A116" s="85"/>
      <c r="B116" s="85"/>
      <c r="C116" s="85"/>
      <c r="D116" s="85"/>
      <c r="E116" s="85"/>
      <c r="F116" s="85"/>
      <c r="G116" s="85"/>
      <c r="H116" s="85"/>
      <c r="I116" s="876"/>
      <c r="J116" s="876"/>
      <c r="K116" s="876"/>
      <c r="L116" s="876"/>
      <c r="M116" s="876"/>
      <c r="N116" s="876"/>
      <c r="O116" s="876"/>
      <c r="P116" s="876"/>
      <c r="Q116" s="876"/>
    </row>
    <row r="117" spans="1:17">
      <c r="A117" s="103" t="s">
        <v>347</v>
      </c>
      <c r="B117" s="105"/>
      <c r="C117" s="103">
        <v>2025</v>
      </c>
      <c r="D117" s="85"/>
      <c r="E117" s="85"/>
      <c r="F117" s="85"/>
      <c r="G117" s="117"/>
      <c r="H117" s="85"/>
      <c r="I117" s="876"/>
      <c r="J117" s="876"/>
      <c r="K117" s="876"/>
      <c r="L117" s="876"/>
      <c r="M117" s="876"/>
      <c r="N117" s="876"/>
      <c r="O117" s="876"/>
      <c r="P117" s="876"/>
      <c r="Q117" s="876"/>
    </row>
    <row r="118" spans="1:17">
      <c r="A118" s="85" t="s">
        <v>348</v>
      </c>
      <c r="B118" s="85"/>
      <c r="C118" s="93">
        <f>SUM($B$109:$F$109)/5*C114</f>
        <v>25314.030509811575</v>
      </c>
      <c r="D118" s="85"/>
      <c r="E118" s="85"/>
      <c r="F118" s="117"/>
      <c r="G118" s="876"/>
      <c r="H118" s="117"/>
      <c r="I118" s="876"/>
      <c r="J118" s="876"/>
      <c r="K118" s="876"/>
      <c r="L118" s="876"/>
      <c r="M118" s="876"/>
      <c r="N118" s="876"/>
      <c r="O118" s="876"/>
      <c r="P118" s="876"/>
      <c r="Q118" s="876"/>
    </row>
    <row r="119" spans="1:17">
      <c r="A119" s="85"/>
      <c r="B119" s="85"/>
      <c r="C119" s="85"/>
      <c r="D119" s="85"/>
      <c r="E119" s="85"/>
      <c r="F119" s="85"/>
      <c r="G119" s="117"/>
      <c r="H119" s="85"/>
      <c r="I119" s="876"/>
      <c r="J119" s="876"/>
      <c r="K119" s="876"/>
      <c r="L119" s="876"/>
      <c r="M119" s="876"/>
      <c r="N119" s="876"/>
      <c r="O119" s="876"/>
      <c r="P119" s="876"/>
      <c r="Q119" s="876"/>
    </row>
    <row r="120" spans="1:17">
      <c r="A120" s="85"/>
      <c r="B120" s="85"/>
      <c r="C120" s="85"/>
      <c r="D120" s="85"/>
      <c r="E120" s="85"/>
      <c r="F120" s="85"/>
      <c r="G120" s="85"/>
      <c r="H120" s="85"/>
      <c r="I120" s="876"/>
      <c r="J120" s="876"/>
      <c r="K120" s="876"/>
      <c r="L120" s="876"/>
      <c r="M120" s="876"/>
      <c r="N120" s="876"/>
      <c r="O120" s="876"/>
      <c r="P120" s="876"/>
      <c r="Q120" s="876"/>
    </row>
    <row r="121" spans="1:17">
      <c r="A121" s="85"/>
      <c r="B121" s="85"/>
      <c r="C121" s="85"/>
      <c r="D121" s="85"/>
      <c r="E121" s="85"/>
      <c r="F121" s="85"/>
      <c r="G121" s="85"/>
      <c r="H121" s="85"/>
      <c r="I121" s="876"/>
      <c r="J121" s="876"/>
      <c r="K121" s="876"/>
      <c r="L121" s="876"/>
      <c r="M121" s="876"/>
      <c r="N121" s="876"/>
      <c r="O121" s="876"/>
      <c r="P121" s="876"/>
      <c r="Q121" s="876"/>
    </row>
    <row r="122" spans="1:17">
      <c r="A122" s="103" t="s">
        <v>349</v>
      </c>
      <c r="B122" s="105"/>
      <c r="C122" s="484"/>
      <c r="D122" s="105"/>
      <c r="E122" s="105"/>
      <c r="F122" s="105"/>
      <c r="G122" s="105"/>
      <c r="H122" s="85"/>
      <c r="I122" s="4"/>
      <c r="J122" s="876"/>
      <c r="K122" s="876"/>
      <c r="L122" s="876"/>
      <c r="M122" s="876"/>
      <c r="N122" s="876"/>
      <c r="O122" s="876"/>
      <c r="P122" s="876"/>
      <c r="Q122" s="876"/>
    </row>
    <row r="123" spans="1:17" ht="24.75">
      <c r="A123" s="111"/>
      <c r="B123" s="115" t="s">
        <v>350</v>
      </c>
      <c r="C123" s="115" t="s">
        <v>351</v>
      </c>
      <c r="D123" s="107" t="s">
        <v>352</v>
      </c>
      <c r="E123" s="111"/>
      <c r="F123" s="107">
        <v>2025</v>
      </c>
      <c r="G123" s="116">
        <v>2025</v>
      </c>
      <c r="H123" s="85"/>
      <c r="I123" s="694">
        <v>2024</v>
      </c>
      <c r="J123" s="489" t="s">
        <v>129</v>
      </c>
      <c r="K123" s="876"/>
      <c r="L123" s="4"/>
      <c r="M123" s="876"/>
      <c r="N123" s="876"/>
      <c r="O123" s="4"/>
      <c r="P123" s="876"/>
      <c r="Q123" s="876"/>
    </row>
    <row r="124" spans="1:17">
      <c r="A124" s="104" t="s">
        <v>93</v>
      </c>
      <c r="B124" s="93">
        <f>$C$118-G93</f>
        <v>-1007.8393492595242</v>
      </c>
      <c r="C124" s="410">
        <f t="shared" ref="C124:C139" si="20">IF(H30&lt;$H$46,H30,$H$46)</f>
        <v>0.17693110000000001</v>
      </c>
      <c r="D124" s="93">
        <f>I72</f>
        <v>436</v>
      </c>
      <c r="E124" s="117">
        <v>0.95</v>
      </c>
      <c r="F124" s="117">
        <f>ROUND(B124*C124*D124*E124,2)</f>
        <v>-73859.37</v>
      </c>
      <c r="G124" s="405">
        <f>ROUND(IF(F124&gt;0,F124,0),2)</f>
        <v>0</v>
      </c>
      <c r="H124" s="85"/>
      <c r="I124" s="695">
        <v>0</v>
      </c>
      <c r="J124" s="405">
        <f>G124-I124</f>
        <v>0</v>
      </c>
      <c r="K124" s="876"/>
      <c r="L124" s="4"/>
      <c r="M124" s="876"/>
      <c r="N124" s="876"/>
      <c r="O124" s="4"/>
      <c r="P124" s="911"/>
      <c r="Q124" s="917"/>
    </row>
    <row r="125" spans="1:17">
      <c r="A125" s="104" t="s">
        <v>94</v>
      </c>
      <c r="B125" s="93">
        <f t="shared" ref="B125:B138" si="21">$C$118-G94</f>
        <v>7797.788277296524</v>
      </c>
      <c r="C125" s="410">
        <f t="shared" si="20"/>
        <v>0.17693110000000001</v>
      </c>
      <c r="D125" s="93">
        <f t="shared" ref="D125:D139" si="22">I73</f>
        <v>942</v>
      </c>
      <c r="E125" s="117">
        <v>0.95</v>
      </c>
      <c r="F125" s="117">
        <f t="shared" ref="F125:F139" si="23">ROUND(B125*C125*D125*E125,2)</f>
        <v>1234667.81</v>
      </c>
      <c r="G125" s="405">
        <f t="shared" ref="G125:G139" si="24">ROUND(IF(F125&gt;0,F125,0),2)</f>
        <v>1234667.81</v>
      </c>
      <c r="H125" s="85"/>
      <c r="I125" s="696">
        <v>1195978.18</v>
      </c>
      <c r="J125" s="405">
        <f t="shared" ref="J125:J140" si="25">G125-I125</f>
        <v>38689.630000000121</v>
      </c>
      <c r="K125" s="876"/>
      <c r="L125" s="4"/>
      <c r="M125" s="876"/>
      <c r="N125" s="876"/>
      <c r="O125" s="4"/>
      <c r="P125" s="911"/>
      <c r="Q125" s="917"/>
    </row>
    <row r="126" spans="1:17">
      <c r="A126" s="104" t="s">
        <v>95</v>
      </c>
      <c r="B126" s="93">
        <f t="shared" si="21"/>
        <v>6416.8623933205963</v>
      </c>
      <c r="C126" s="410">
        <f t="shared" si="20"/>
        <v>0.17693110000000001</v>
      </c>
      <c r="D126" s="93">
        <f t="shared" si="22"/>
        <v>2610</v>
      </c>
      <c r="E126" s="117">
        <v>0.95</v>
      </c>
      <c r="F126" s="117">
        <f t="shared" si="23"/>
        <v>2815081.78</v>
      </c>
      <c r="G126" s="405">
        <f t="shared" si="24"/>
        <v>2815081.78</v>
      </c>
      <c r="H126" s="85"/>
      <c r="I126" s="696">
        <v>2688092.09</v>
      </c>
      <c r="J126" s="405">
        <f t="shared" si="25"/>
        <v>126989.68999999994</v>
      </c>
      <c r="K126" s="876"/>
      <c r="L126" s="4"/>
      <c r="M126" s="876"/>
      <c r="N126" s="876"/>
      <c r="O126" s="4"/>
      <c r="P126" s="911"/>
      <c r="Q126" s="917"/>
    </row>
    <row r="127" spans="1:17">
      <c r="A127" s="104" t="s">
        <v>96</v>
      </c>
      <c r="B127" s="93">
        <f t="shared" si="21"/>
        <v>6310.52854987725</v>
      </c>
      <c r="C127" s="410">
        <f t="shared" si="20"/>
        <v>0.17693110000000001</v>
      </c>
      <c r="D127" s="93">
        <f t="shared" si="22"/>
        <v>509</v>
      </c>
      <c r="E127" s="117">
        <v>0.95</v>
      </c>
      <c r="F127" s="117">
        <f t="shared" si="23"/>
        <v>539897.48</v>
      </c>
      <c r="G127" s="405">
        <f t="shared" si="24"/>
        <v>539897.48</v>
      </c>
      <c r="H127" s="85"/>
      <c r="I127" s="696">
        <v>500192.63</v>
      </c>
      <c r="J127" s="405">
        <f t="shared" si="25"/>
        <v>39704.849999999977</v>
      </c>
      <c r="K127" s="876"/>
      <c r="L127" s="4"/>
      <c r="M127" s="876"/>
      <c r="N127" s="876"/>
      <c r="O127" s="4"/>
      <c r="P127" s="911"/>
      <c r="Q127" s="917"/>
    </row>
    <row r="128" spans="1:17">
      <c r="A128" s="104" t="s">
        <v>97</v>
      </c>
      <c r="B128" s="93">
        <f t="shared" si="21"/>
        <v>12517.367345691719</v>
      </c>
      <c r="C128" s="410">
        <f t="shared" si="20"/>
        <v>0.17693110000000001</v>
      </c>
      <c r="D128" s="93">
        <f t="shared" si="22"/>
        <v>509</v>
      </c>
      <c r="E128" s="117">
        <v>0.95</v>
      </c>
      <c r="F128" s="117">
        <f t="shared" si="23"/>
        <v>1070923.78</v>
      </c>
      <c r="G128" s="405">
        <f t="shared" si="24"/>
        <v>1070923.78</v>
      </c>
      <c r="H128" s="85"/>
      <c r="I128" s="696">
        <v>1027634.86</v>
      </c>
      <c r="J128" s="405">
        <f t="shared" si="25"/>
        <v>43288.920000000042</v>
      </c>
      <c r="K128" s="876"/>
      <c r="L128" s="4"/>
      <c r="M128" s="876"/>
      <c r="N128" s="876"/>
      <c r="O128" s="4"/>
      <c r="P128" s="911"/>
      <c r="Q128" s="917"/>
    </row>
    <row r="129" spans="1:17">
      <c r="A129" s="104" t="s">
        <v>98</v>
      </c>
      <c r="B129" s="93">
        <f t="shared" si="21"/>
        <v>8524.6389093925573</v>
      </c>
      <c r="C129" s="410">
        <f t="shared" si="20"/>
        <v>0.17693110000000001</v>
      </c>
      <c r="D129" s="93">
        <f t="shared" si="22"/>
        <v>1646</v>
      </c>
      <c r="E129" s="117">
        <v>0.95</v>
      </c>
      <c r="F129" s="117">
        <f t="shared" si="23"/>
        <v>2358487.65</v>
      </c>
      <c r="G129" s="405">
        <f t="shared" si="24"/>
        <v>2358487.65</v>
      </c>
      <c r="H129" s="85"/>
      <c r="I129" s="696">
        <v>2290742.88</v>
      </c>
      <c r="J129" s="405">
        <f t="shared" si="25"/>
        <v>67744.770000000019</v>
      </c>
      <c r="K129" s="876"/>
      <c r="L129" s="4"/>
      <c r="M129" s="876"/>
      <c r="N129" s="876"/>
      <c r="O129" s="4"/>
      <c r="P129" s="911"/>
      <c r="Q129" s="917"/>
    </row>
    <row r="130" spans="1:17">
      <c r="A130" s="104" t="s">
        <v>99</v>
      </c>
      <c r="B130" s="93">
        <f t="shared" si="21"/>
        <v>3246.5348197236126</v>
      </c>
      <c r="C130" s="410">
        <f t="shared" si="20"/>
        <v>0.17499999999999999</v>
      </c>
      <c r="D130" s="93">
        <f t="shared" si="22"/>
        <v>5697</v>
      </c>
      <c r="E130" s="117">
        <v>0.95</v>
      </c>
      <c r="F130" s="117">
        <f t="shared" si="23"/>
        <v>3074878.35</v>
      </c>
      <c r="G130" s="405">
        <f t="shared" si="24"/>
        <v>3074878.35</v>
      </c>
      <c r="H130" s="85"/>
      <c r="I130" s="696">
        <v>2764995.3</v>
      </c>
      <c r="J130" s="405">
        <f t="shared" si="25"/>
        <v>309883.05000000028</v>
      </c>
      <c r="K130" s="876"/>
      <c r="L130" s="4"/>
      <c r="M130" s="876"/>
      <c r="N130" s="876"/>
      <c r="O130" s="4"/>
      <c r="P130" s="911"/>
      <c r="Q130" s="917"/>
    </row>
    <row r="131" spans="1:17">
      <c r="A131" s="104" t="s">
        <v>100</v>
      </c>
      <c r="B131" s="93">
        <f t="shared" si="21"/>
        <v>5893.2551784851348</v>
      </c>
      <c r="C131" s="410">
        <f t="shared" si="20"/>
        <v>0.17693110000000001</v>
      </c>
      <c r="D131" s="93">
        <f t="shared" si="22"/>
        <v>290</v>
      </c>
      <c r="E131" s="117">
        <v>0.95</v>
      </c>
      <c r="F131" s="117">
        <f t="shared" si="23"/>
        <v>287263.88</v>
      </c>
      <c r="G131" s="405">
        <f t="shared" si="24"/>
        <v>287263.88</v>
      </c>
      <c r="H131" s="85"/>
      <c r="I131" s="696">
        <v>294027.71000000002</v>
      </c>
      <c r="J131" s="405">
        <f t="shared" si="25"/>
        <v>-6763.8300000000163</v>
      </c>
      <c r="K131" s="876"/>
      <c r="L131" s="4"/>
      <c r="M131" s="876"/>
      <c r="N131" s="876"/>
      <c r="O131" s="4"/>
      <c r="P131" s="911"/>
      <c r="Q131" s="917"/>
    </row>
    <row r="132" spans="1:17">
      <c r="A132" s="104" t="s">
        <v>101</v>
      </c>
      <c r="B132" s="93">
        <f t="shared" si="21"/>
        <v>9524.5677130206896</v>
      </c>
      <c r="C132" s="410">
        <f t="shared" si="20"/>
        <v>0.17693110000000001</v>
      </c>
      <c r="D132" s="93">
        <f t="shared" si="22"/>
        <v>225</v>
      </c>
      <c r="E132" s="117">
        <v>0.95</v>
      </c>
      <c r="F132" s="117">
        <f t="shared" si="23"/>
        <v>360209.84</v>
      </c>
      <c r="G132" s="405">
        <f t="shared" si="24"/>
        <v>360209.84</v>
      </c>
      <c r="H132" s="85"/>
      <c r="I132" s="696">
        <v>321296.34999999998</v>
      </c>
      <c r="J132" s="405">
        <f t="shared" si="25"/>
        <v>38913.490000000049</v>
      </c>
      <c r="K132" s="876"/>
      <c r="L132" s="4"/>
      <c r="M132" s="876"/>
      <c r="N132" s="876"/>
      <c r="O132" s="4"/>
      <c r="P132" s="911"/>
      <c r="Q132" s="917"/>
    </row>
    <row r="133" spans="1:17">
      <c r="A133" s="104" t="s">
        <v>102</v>
      </c>
      <c r="B133" s="93">
        <f t="shared" si="21"/>
        <v>5465.3808967417317</v>
      </c>
      <c r="C133" s="410">
        <f t="shared" si="20"/>
        <v>0.17693110000000001</v>
      </c>
      <c r="D133" s="93">
        <f t="shared" si="22"/>
        <v>2127</v>
      </c>
      <c r="E133" s="117">
        <v>0.95</v>
      </c>
      <c r="F133" s="117">
        <f t="shared" si="23"/>
        <v>1953960.17</v>
      </c>
      <c r="G133" s="405">
        <f t="shared" si="24"/>
        <v>1953960.17</v>
      </c>
      <c r="H133" s="85"/>
      <c r="I133" s="696">
        <v>1882731.68</v>
      </c>
      <c r="J133" s="405">
        <f t="shared" si="25"/>
        <v>71228.489999999991</v>
      </c>
      <c r="K133" s="876"/>
      <c r="L133" s="4"/>
      <c r="M133" s="876"/>
      <c r="N133" s="876"/>
      <c r="O133" s="4"/>
      <c r="P133" s="911"/>
      <c r="Q133" s="917"/>
    </row>
    <row r="134" spans="1:17">
      <c r="A134" s="104" t="s">
        <v>103</v>
      </c>
      <c r="B134" s="93">
        <f t="shared" si="21"/>
        <v>5197.370135398538</v>
      </c>
      <c r="C134" s="410">
        <f t="shared" si="20"/>
        <v>0.17693110000000001</v>
      </c>
      <c r="D134" s="93">
        <f t="shared" si="22"/>
        <v>366</v>
      </c>
      <c r="E134" s="117">
        <v>0.95</v>
      </c>
      <c r="F134" s="117">
        <f t="shared" si="23"/>
        <v>319736.71999999997</v>
      </c>
      <c r="G134" s="405">
        <f t="shared" si="24"/>
        <v>319736.71999999997</v>
      </c>
      <c r="H134" s="85"/>
      <c r="I134" s="696">
        <v>307953.59000000003</v>
      </c>
      <c r="J134" s="405">
        <f t="shared" si="25"/>
        <v>11783.129999999946</v>
      </c>
      <c r="K134" s="876"/>
      <c r="L134" s="4"/>
      <c r="M134" s="876"/>
      <c r="N134" s="876"/>
      <c r="O134" s="4"/>
      <c r="P134" s="911"/>
      <c r="Q134" s="917"/>
    </row>
    <row r="135" spans="1:17">
      <c r="A135" s="104" t="s">
        <v>104</v>
      </c>
      <c r="B135" s="93">
        <f t="shared" si="21"/>
        <v>4297.1951778520197</v>
      </c>
      <c r="C135" s="410">
        <f t="shared" si="20"/>
        <v>0.17693110000000001</v>
      </c>
      <c r="D135" s="93">
        <f t="shared" si="22"/>
        <v>1791</v>
      </c>
      <c r="E135" s="117">
        <v>0.95</v>
      </c>
      <c r="F135" s="117">
        <f t="shared" si="23"/>
        <v>1293625.1399999999</v>
      </c>
      <c r="G135" s="405">
        <f t="shared" si="24"/>
        <v>1293625.1399999999</v>
      </c>
      <c r="H135" s="85"/>
      <c r="I135" s="696">
        <v>1347993.15</v>
      </c>
      <c r="J135" s="405">
        <f t="shared" si="25"/>
        <v>-54368.010000000009</v>
      </c>
      <c r="K135" s="876"/>
      <c r="L135" s="4"/>
      <c r="M135" s="876"/>
      <c r="N135" s="876"/>
      <c r="O135" s="4"/>
      <c r="P135" s="911"/>
      <c r="Q135" s="917"/>
    </row>
    <row r="136" spans="1:17">
      <c r="A136" s="104" t="s">
        <v>105</v>
      </c>
      <c r="B136" s="93">
        <f t="shared" si="21"/>
        <v>5488.8371436380621</v>
      </c>
      <c r="C136" s="410">
        <f t="shared" si="20"/>
        <v>0.17693110000000001</v>
      </c>
      <c r="D136" s="93">
        <f t="shared" si="22"/>
        <v>115</v>
      </c>
      <c r="E136" s="117">
        <v>0.95</v>
      </c>
      <c r="F136" s="117">
        <f t="shared" si="23"/>
        <v>106097.7</v>
      </c>
      <c r="G136" s="405">
        <f t="shared" si="24"/>
        <v>106097.7</v>
      </c>
      <c r="H136" s="85"/>
      <c r="I136" s="696">
        <v>80861.649999999994</v>
      </c>
      <c r="J136" s="405">
        <f t="shared" si="25"/>
        <v>25236.050000000003</v>
      </c>
      <c r="K136" s="876"/>
      <c r="L136" s="4"/>
      <c r="M136" s="876"/>
      <c r="N136" s="876"/>
      <c r="O136" s="4"/>
      <c r="P136" s="911"/>
      <c r="Q136" s="917"/>
    </row>
    <row r="137" spans="1:17">
      <c r="A137" s="104" t="s">
        <v>106</v>
      </c>
      <c r="B137" s="93">
        <f t="shared" si="21"/>
        <v>7401.2853117661762</v>
      </c>
      <c r="C137" s="410">
        <f t="shared" si="20"/>
        <v>0.17693110000000001</v>
      </c>
      <c r="D137" s="93">
        <f t="shared" si="22"/>
        <v>995</v>
      </c>
      <c r="E137" s="117">
        <v>0.95</v>
      </c>
      <c r="F137" s="117">
        <f t="shared" si="23"/>
        <v>1237821.47</v>
      </c>
      <c r="G137" s="405">
        <f t="shared" si="24"/>
        <v>1237821.47</v>
      </c>
      <c r="H137" s="85"/>
      <c r="I137" s="696">
        <v>1179115.1000000001</v>
      </c>
      <c r="J137" s="405">
        <f t="shared" si="25"/>
        <v>58706.369999999879</v>
      </c>
      <c r="K137" s="876"/>
      <c r="L137" s="4"/>
      <c r="M137" s="876"/>
      <c r="N137" s="876"/>
      <c r="O137" s="4"/>
      <c r="P137" s="911"/>
      <c r="Q137" s="917"/>
    </row>
    <row r="138" spans="1:17">
      <c r="A138" s="104" t="s">
        <v>107</v>
      </c>
      <c r="B138" s="93">
        <f t="shared" si="21"/>
        <v>9195.3918740721674</v>
      </c>
      <c r="C138" s="410">
        <f t="shared" si="20"/>
        <v>0.17693110000000001</v>
      </c>
      <c r="D138" s="93">
        <f t="shared" si="22"/>
        <v>471</v>
      </c>
      <c r="E138" s="117">
        <v>0.95</v>
      </c>
      <c r="F138" s="117">
        <f t="shared" si="23"/>
        <v>727979.14</v>
      </c>
      <c r="G138" s="405">
        <f t="shared" si="24"/>
        <v>727979.14</v>
      </c>
      <c r="H138" s="85"/>
      <c r="I138" s="696">
        <v>672104.59</v>
      </c>
      <c r="J138" s="405">
        <f t="shared" si="25"/>
        <v>55874.550000000047</v>
      </c>
      <c r="K138" s="876"/>
      <c r="L138" s="4"/>
      <c r="M138" s="876"/>
      <c r="N138" s="876"/>
      <c r="O138" s="4"/>
      <c r="P138" s="911"/>
      <c r="Q138" s="917"/>
    </row>
    <row r="139" spans="1:17">
      <c r="A139" s="103" t="s">
        <v>108</v>
      </c>
      <c r="B139" s="94">
        <f>$C$118-G108</f>
        <v>286.81371220029905</v>
      </c>
      <c r="C139" s="411">
        <f t="shared" si="20"/>
        <v>0.17</v>
      </c>
      <c r="D139" s="94">
        <f t="shared" si="22"/>
        <v>11812</v>
      </c>
      <c r="E139" s="119">
        <v>0.95</v>
      </c>
      <c r="F139" s="119">
        <f t="shared" si="23"/>
        <v>547136.74</v>
      </c>
      <c r="G139" s="406">
        <f t="shared" si="24"/>
        <v>547136.74</v>
      </c>
      <c r="H139" s="85"/>
      <c r="I139" s="697">
        <v>366425.93</v>
      </c>
      <c r="J139" s="406">
        <f t="shared" si="25"/>
        <v>180710.81</v>
      </c>
      <c r="K139" s="876"/>
      <c r="L139" s="876"/>
      <c r="M139" s="876"/>
      <c r="N139" s="771"/>
      <c r="O139" s="4"/>
      <c r="P139" s="911"/>
      <c r="Q139" s="917"/>
    </row>
    <row r="140" spans="1:17">
      <c r="A140" s="104" t="s">
        <v>109</v>
      </c>
      <c r="B140" s="85"/>
      <c r="C140" s="85"/>
      <c r="D140" s="93"/>
      <c r="E140" s="85"/>
      <c r="F140" s="121"/>
      <c r="G140" s="407">
        <f>SUM(G124:G139)</f>
        <v>17927767.649999999</v>
      </c>
      <c r="H140" s="85"/>
      <c r="I140" s="698">
        <v>16920145.690000001</v>
      </c>
      <c r="J140" s="407">
        <f t="shared" si="25"/>
        <v>1007621.9599999972</v>
      </c>
      <c r="K140" s="911"/>
      <c r="L140" s="876"/>
      <c r="M140" s="876"/>
      <c r="N140" s="876"/>
      <c r="O140" s="876"/>
      <c r="P140" s="911"/>
      <c r="Q140" s="917"/>
    </row>
    <row r="141" spans="1:17">
      <c r="A141" s="85"/>
      <c r="B141" s="85"/>
      <c r="C141" s="85"/>
      <c r="D141" s="85"/>
      <c r="E141" s="85"/>
      <c r="F141" s="85"/>
      <c r="G141" s="85"/>
      <c r="H141" s="85"/>
      <c r="I141" s="876"/>
      <c r="J141" s="876"/>
      <c r="K141" s="918"/>
      <c r="L141" s="876"/>
      <c r="M141" s="876"/>
      <c r="N141" s="876"/>
      <c r="O141" s="876"/>
      <c r="P141" s="876"/>
      <c r="Q141" s="876"/>
    </row>
    <row r="142" spans="1:17">
      <c r="A142" s="104" t="s">
        <v>353</v>
      </c>
      <c r="B142" s="85"/>
      <c r="C142" s="85"/>
      <c r="D142" s="85"/>
      <c r="E142" s="85"/>
      <c r="F142" s="85"/>
      <c r="G142" s="85"/>
      <c r="H142" s="85"/>
      <c r="I142" s="876"/>
      <c r="J142" s="876"/>
      <c r="K142" s="876"/>
      <c r="L142" s="876"/>
      <c r="M142" s="876"/>
      <c r="N142" s="876"/>
      <c r="O142" s="876"/>
      <c r="P142" s="876"/>
      <c r="Q142" s="876"/>
    </row>
    <row r="143" spans="1:17">
      <c r="A143" s="85"/>
      <c r="B143" s="85"/>
      <c r="C143" s="85"/>
      <c r="D143" s="85"/>
      <c r="E143" s="85"/>
      <c r="F143" s="85"/>
      <c r="G143" s="85"/>
      <c r="H143" s="85"/>
      <c r="I143" s="876"/>
      <c r="J143" s="876"/>
      <c r="K143" s="876"/>
      <c r="L143" s="876"/>
      <c r="M143" s="876"/>
      <c r="N143" s="876"/>
      <c r="O143" s="876"/>
      <c r="P143" s="876"/>
      <c r="Q143" s="876"/>
    </row>
    <row r="144" spans="1:17">
      <c r="A144" s="85"/>
      <c r="B144" s="85"/>
      <c r="C144" s="85"/>
      <c r="D144" s="85"/>
      <c r="E144" s="85"/>
      <c r="F144" s="85"/>
      <c r="G144" s="85"/>
      <c r="H144" s="85"/>
      <c r="I144" s="876"/>
      <c r="J144" s="876"/>
      <c r="K144" s="876"/>
      <c r="L144" s="876"/>
      <c r="M144" s="876"/>
      <c r="N144" s="876"/>
      <c r="O144" s="876"/>
      <c r="P144" s="876"/>
      <c r="Q144" s="876"/>
    </row>
    <row r="145" spans="1:8">
      <c r="A145" s="85"/>
      <c r="B145" s="85"/>
      <c r="C145" s="85"/>
      <c r="D145" s="85"/>
      <c r="E145" s="85"/>
      <c r="F145" s="85"/>
      <c r="G145" s="85"/>
      <c r="H145" s="85"/>
    </row>
    <row r="146" spans="1:8">
      <c r="A146" s="85"/>
      <c r="B146" s="85"/>
      <c r="C146" s="104">
        <v>2025</v>
      </c>
      <c r="D146" s="85"/>
      <c r="E146" s="85"/>
      <c r="F146" s="85"/>
      <c r="G146" s="85"/>
      <c r="H146" s="85"/>
    </row>
    <row r="147" spans="1:8">
      <c r="A147" s="85" t="s">
        <v>354</v>
      </c>
      <c r="B147" s="85"/>
      <c r="C147" s="185">
        <f>G140/'Lsandelar totalt'!L26</f>
        <v>0.40922813821386289</v>
      </c>
      <c r="D147" s="876"/>
      <c r="E147" s="85"/>
      <c r="F147" s="85"/>
      <c r="G147" s="85"/>
      <c r="H147" s="85"/>
    </row>
    <row r="148" spans="1:8">
      <c r="A148" s="85"/>
      <c r="B148" s="85"/>
      <c r="C148" s="85"/>
      <c r="D148" s="85"/>
      <c r="E148" s="85"/>
      <c r="F148" s="85"/>
      <c r="G148" s="85"/>
      <c r="H148" s="85"/>
    </row>
    <row r="149" spans="1:8">
      <c r="A149" s="85"/>
      <c r="B149" s="85"/>
      <c r="C149" s="85"/>
      <c r="D149" s="85"/>
      <c r="E149" s="85"/>
      <c r="F149" s="85"/>
      <c r="G149" s="85"/>
      <c r="H149" s="85"/>
    </row>
    <row r="150" spans="1:8">
      <c r="A150" s="123" t="s">
        <v>355</v>
      </c>
      <c r="B150" s="124"/>
      <c r="C150" s="124"/>
      <c r="D150" s="124"/>
      <c r="E150" s="124"/>
      <c r="F150" s="124"/>
      <c r="G150" s="124"/>
      <c r="H150" s="85"/>
    </row>
    <row r="151" spans="1:8">
      <c r="A151" s="124"/>
      <c r="B151" s="124"/>
      <c r="C151" s="124"/>
      <c r="D151" s="124"/>
      <c r="E151" s="124"/>
      <c r="F151" s="124"/>
      <c r="G151" s="124"/>
      <c r="H151" s="85"/>
    </row>
    <row r="152" spans="1:8">
      <c r="A152" s="125" t="s">
        <v>346</v>
      </c>
      <c r="B152" s="124"/>
      <c r="C152" s="125" t="s">
        <v>348</v>
      </c>
      <c r="D152" s="124"/>
      <c r="E152" s="124"/>
      <c r="F152" s="124"/>
      <c r="G152" s="124"/>
      <c r="H152" s="85"/>
    </row>
    <row r="153" spans="1:8">
      <c r="A153" s="124">
        <f>C114-0.01</f>
        <v>1.1499999999999999</v>
      </c>
      <c r="B153" s="124"/>
      <c r="C153" s="126">
        <f>SUM($B$109:$F$109)/5*A153</f>
        <v>25095.806108864923</v>
      </c>
      <c r="D153" s="124"/>
      <c r="E153" s="124"/>
      <c r="F153" s="124"/>
      <c r="G153" s="124"/>
      <c r="H153" s="85"/>
    </row>
    <row r="154" spans="1:8">
      <c r="A154" s="124"/>
      <c r="B154" s="124"/>
      <c r="C154" s="124"/>
      <c r="D154" s="124"/>
      <c r="E154" s="124"/>
      <c r="F154" s="124"/>
      <c r="G154" s="124"/>
      <c r="H154" s="85"/>
    </row>
    <row r="155" spans="1:8">
      <c r="A155" s="127" t="s">
        <v>349</v>
      </c>
      <c r="B155" s="128"/>
      <c r="C155" s="128"/>
      <c r="D155" s="128"/>
      <c r="E155" s="128"/>
      <c r="F155" s="128"/>
      <c r="G155" s="128"/>
      <c r="H155" s="85"/>
    </row>
    <row r="156" spans="1:8" ht="24.75">
      <c r="A156" s="129"/>
      <c r="B156" s="699" t="s">
        <v>350</v>
      </c>
      <c r="C156" s="699" t="s">
        <v>356</v>
      </c>
      <c r="D156" s="699" t="s">
        <v>4</v>
      </c>
      <c r="E156" s="129"/>
      <c r="F156" s="129"/>
      <c r="G156" s="130">
        <f>H29</f>
        <v>2025</v>
      </c>
      <c r="H156" s="85"/>
    </row>
    <row r="157" spans="1:8">
      <c r="A157" s="125" t="s">
        <v>93</v>
      </c>
      <c r="B157" s="126">
        <f t="shared" ref="B157:B172" si="26">$C$153-G93</f>
        <v>-1226.0637502061763</v>
      </c>
      <c r="C157" s="131">
        <f t="shared" ref="C157:C172" si="27">IF(H30&lt;$H$46,H30,$H$46)</f>
        <v>0.17693110000000001</v>
      </c>
      <c r="D157" s="126">
        <f>I72</f>
        <v>436</v>
      </c>
      <c r="E157" s="132">
        <v>0.95</v>
      </c>
      <c r="F157" s="132">
        <f>ROUND(B157*C157*D157*E157,2)</f>
        <v>-89851.91</v>
      </c>
      <c r="G157" s="132">
        <f>IF(F157&gt;0,F157,0)</f>
        <v>0</v>
      </c>
      <c r="H157" s="85"/>
    </row>
    <row r="158" spans="1:8">
      <c r="A158" s="125" t="s">
        <v>94</v>
      </c>
      <c r="B158" s="126">
        <f t="shared" si="26"/>
        <v>7579.5638763498719</v>
      </c>
      <c r="C158" s="131">
        <f t="shared" si="27"/>
        <v>0.17693110000000001</v>
      </c>
      <c r="D158" s="126">
        <f t="shared" ref="D158:D172" si="28">I73</f>
        <v>942</v>
      </c>
      <c r="E158" s="132">
        <v>0.95</v>
      </c>
      <c r="F158" s="132">
        <f t="shared" ref="F158:F172" si="29">ROUND(B158*C158*D158*E158,2)</f>
        <v>1200115.1100000001</v>
      </c>
      <c r="G158" s="132">
        <f t="shared" ref="G158:G172" si="30">IF(F158&gt;0,F158,0)</f>
        <v>1200115.1100000001</v>
      </c>
      <c r="H158" s="85"/>
    </row>
    <row r="159" spans="1:8">
      <c r="A159" s="125" t="s">
        <v>95</v>
      </c>
      <c r="B159" s="126">
        <f t="shared" si="26"/>
        <v>6198.6379923739441</v>
      </c>
      <c r="C159" s="131">
        <f t="shared" si="27"/>
        <v>0.17693110000000001</v>
      </c>
      <c r="D159" s="126">
        <f t="shared" si="28"/>
        <v>2610</v>
      </c>
      <c r="E159" s="132">
        <v>0.95</v>
      </c>
      <c r="F159" s="132">
        <f t="shared" si="29"/>
        <v>2719346.59</v>
      </c>
      <c r="G159" s="132">
        <f t="shared" si="30"/>
        <v>2719346.59</v>
      </c>
      <c r="H159" s="85"/>
    </row>
    <row r="160" spans="1:8">
      <c r="A160" s="125" t="s">
        <v>96</v>
      </c>
      <c r="B160" s="126">
        <f t="shared" si="26"/>
        <v>6092.3041489305979</v>
      </c>
      <c r="C160" s="131">
        <f t="shared" si="27"/>
        <v>0.17693110000000001</v>
      </c>
      <c r="D160" s="126">
        <f t="shared" si="28"/>
        <v>509</v>
      </c>
      <c r="E160" s="132">
        <v>0.95</v>
      </c>
      <c r="F160" s="132">
        <f t="shared" si="29"/>
        <v>521227.28</v>
      </c>
      <c r="G160" s="132">
        <f t="shared" si="30"/>
        <v>521227.28</v>
      </c>
      <c r="H160" s="85"/>
    </row>
    <row r="161" spans="1:8">
      <c r="A161" s="125" t="s">
        <v>97</v>
      </c>
      <c r="B161" s="126">
        <f t="shared" si="26"/>
        <v>12299.142944745066</v>
      </c>
      <c r="C161" s="131">
        <f t="shared" si="27"/>
        <v>0.17693110000000001</v>
      </c>
      <c r="D161" s="126">
        <f t="shared" si="28"/>
        <v>509</v>
      </c>
      <c r="E161" s="132">
        <v>0.95</v>
      </c>
      <c r="F161" s="132">
        <f t="shared" si="29"/>
        <v>1052253.5900000001</v>
      </c>
      <c r="G161" s="132">
        <f t="shared" si="30"/>
        <v>1052253.5900000001</v>
      </c>
      <c r="H161" s="85"/>
    </row>
    <row r="162" spans="1:8">
      <c r="A162" s="125" t="s">
        <v>98</v>
      </c>
      <c r="B162" s="126">
        <f t="shared" si="26"/>
        <v>8306.4145084459051</v>
      </c>
      <c r="C162" s="131">
        <f t="shared" si="27"/>
        <v>0.17693110000000001</v>
      </c>
      <c r="D162" s="126">
        <f t="shared" si="28"/>
        <v>1646</v>
      </c>
      <c r="E162" s="132">
        <v>0.95</v>
      </c>
      <c r="F162" s="132">
        <f t="shared" si="29"/>
        <v>2298112.12</v>
      </c>
      <c r="G162" s="132">
        <f t="shared" si="30"/>
        <v>2298112.12</v>
      </c>
      <c r="H162" s="85"/>
    </row>
    <row r="163" spans="1:8">
      <c r="A163" s="125" t="s">
        <v>99</v>
      </c>
      <c r="B163" s="126">
        <f t="shared" si="26"/>
        <v>3028.3104187769604</v>
      </c>
      <c r="C163" s="131">
        <f t="shared" si="27"/>
        <v>0.17499999999999999</v>
      </c>
      <c r="D163" s="126">
        <f t="shared" si="28"/>
        <v>5697</v>
      </c>
      <c r="E163" s="132">
        <v>0.95</v>
      </c>
      <c r="F163" s="132">
        <f t="shared" si="29"/>
        <v>2868192.29</v>
      </c>
      <c r="G163" s="132">
        <f t="shared" si="30"/>
        <v>2868192.29</v>
      </c>
      <c r="H163" s="85"/>
    </row>
    <row r="164" spans="1:8">
      <c r="A164" s="125" t="s">
        <v>100</v>
      </c>
      <c r="B164" s="126">
        <f t="shared" si="26"/>
        <v>5675.0307775384827</v>
      </c>
      <c r="C164" s="131">
        <f t="shared" si="27"/>
        <v>0.17693110000000001</v>
      </c>
      <c r="D164" s="126">
        <f t="shared" si="28"/>
        <v>290</v>
      </c>
      <c r="E164" s="132">
        <v>0.95</v>
      </c>
      <c r="F164" s="132">
        <f t="shared" si="29"/>
        <v>276626.64</v>
      </c>
      <c r="G164" s="132">
        <f t="shared" si="30"/>
        <v>276626.64</v>
      </c>
      <c r="H164" s="85"/>
    </row>
    <row r="165" spans="1:8">
      <c r="A165" s="125" t="s">
        <v>101</v>
      </c>
      <c r="B165" s="126">
        <f t="shared" si="26"/>
        <v>9306.3433120740374</v>
      </c>
      <c r="C165" s="131">
        <f t="shared" si="27"/>
        <v>0.17693110000000001</v>
      </c>
      <c r="D165" s="126">
        <f t="shared" si="28"/>
        <v>225</v>
      </c>
      <c r="E165" s="132">
        <v>0.95</v>
      </c>
      <c r="F165" s="132">
        <f t="shared" si="29"/>
        <v>351956.81</v>
      </c>
      <c r="G165" s="132">
        <f t="shared" si="30"/>
        <v>351956.81</v>
      </c>
      <c r="H165" s="85"/>
    </row>
    <row r="166" spans="1:8">
      <c r="A166" s="125" t="s">
        <v>102</v>
      </c>
      <c r="B166" s="126">
        <f t="shared" si="26"/>
        <v>5247.1564957950795</v>
      </c>
      <c r="C166" s="131">
        <f t="shared" si="27"/>
        <v>0.17693110000000001</v>
      </c>
      <c r="D166" s="126">
        <f t="shared" si="28"/>
        <v>2127</v>
      </c>
      <c r="E166" s="132">
        <v>0.95</v>
      </c>
      <c r="F166" s="132">
        <f t="shared" si="29"/>
        <v>1875941.5</v>
      </c>
      <c r="G166" s="132">
        <f t="shared" si="30"/>
        <v>1875941.5</v>
      </c>
      <c r="H166" s="85"/>
    </row>
    <row r="167" spans="1:8">
      <c r="A167" s="125" t="s">
        <v>103</v>
      </c>
      <c r="B167" s="126">
        <f t="shared" si="26"/>
        <v>4979.1457344518858</v>
      </c>
      <c r="C167" s="131">
        <f t="shared" si="27"/>
        <v>0.17693110000000001</v>
      </c>
      <c r="D167" s="126">
        <f t="shared" si="28"/>
        <v>366</v>
      </c>
      <c r="E167" s="132">
        <v>0.95</v>
      </c>
      <c r="F167" s="132">
        <f t="shared" si="29"/>
        <v>306311.78000000003</v>
      </c>
      <c r="G167" s="132">
        <f t="shared" si="30"/>
        <v>306311.78000000003</v>
      </c>
      <c r="H167" s="85"/>
    </row>
    <row r="168" spans="1:8">
      <c r="A168" s="125" t="s">
        <v>104</v>
      </c>
      <c r="B168" s="126">
        <f t="shared" si="26"/>
        <v>4078.9707769053675</v>
      </c>
      <c r="C168" s="131">
        <f t="shared" si="27"/>
        <v>0.17693110000000001</v>
      </c>
      <c r="D168" s="126">
        <f t="shared" si="28"/>
        <v>1791</v>
      </c>
      <c r="E168" s="132">
        <v>0.95</v>
      </c>
      <c r="F168" s="132">
        <f t="shared" si="29"/>
        <v>1227931</v>
      </c>
      <c r="G168" s="132">
        <f t="shared" si="30"/>
        <v>1227931</v>
      </c>
      <c r="H168" s="85"/>
    </row>
    <row r="169" spans="1:8">
      <c r="A169" s="125" t="s">
        <v>105</v>
      </c>
      <c r="B169" s="126">
        <f t="shared" si="26"/>
        <v>5270.6127426914099</v>
      </c>
      <c r="C169" s="131">
        <f t="shared" si="27"/>
        <v>0.17693110000000001</v>
      </c>
      <c r="D169" s="126">
        <f t="shared" si="28"/>
        <v>115</v>
      </c>
      <c r="E169" s="132">
        <v>0.95</v>
      </c>
      <c r="F169" s="132">
        <f t="shared" si="29"/>
        <v>101879.48</v>
      </c>
      <c r="G169" s="132">
        <f t="shared" si="30"/>
        <v>101879.48</v>
      </c>
      <c r="H169" s="85"/>
    </row>
    <row r="170" spans="1:8">
      <c r="A170" s="125" t="s">
        <v>106</v>
      </c>
      <c r="B170" s="126">
        <f t="shared" si="26"/>
        <v>7183.060910819524</v>
      </c>
      <c r="C170" s="131">
        <f t="shared" si="27"/>
        <v>0.17693110000000001</v>
      </c>
      <c r="D170" s="126">
        <f t="shared" si="28"/>
        <v>995</v>
      </c>
      <c r="E170" s="132">
        <v>0.95</v>
      </c>
      <c r="F170" s="132">
        <f t="shared" si="29"/>
        <v>1201324.72</v>
      </c>
      <c r="G170" s="132">
        <f t="shared" si="30"/>
        <v>1201324.72</v>
      </c>
      <c r="H170" s="85"/>
    </row>
    <row r="171" spans="1:8">
      <c r="A171" s="125" t="s">
        <v>107</v>
      </c>
      <c r="B171" s="126">
        <f t="shared" si="26"/>
        <v>8977.1674731255152</v>
      </c>
      <c r="C171" s="131">
        <f t="shared" si="27"/>
        <v>0.17693110000000001</v>
      </c>
      <c r="D171" s="126">
        <f t="shared" si="28"/>
        <v>471</v>
      </c>
      <c r="E171" s="132">
        <v>0.95</v>
      </c>
      <c r="F171" s="132">
        <f t="shared" si="29"/>
        <v>710702.78</v>
      </c>
      <c r="G171" s="132">
        <f t="shared" si="30"/>
        <v>710702.78</v>
      </c>
      <c r="H171" s="85"/>
    </row>
    <row r="172" spans="1:8">
      <c r="A172" s="127" t="s">
        <v>108</v>
      </c>
      <c r="B172" s="133">
        <f t="shared" si="26"/>
        <v>68.589311253646883</v>
      </c>
      <c r="C172" s="134">
        <f t="shared" si="27"/>
        <v>0.17</v>
      </c>
      <c r="D172" s="926">
        <f t="shared" si="28"/>
        <v>11812</v>
      </c>
      <c r="E172" s="135">
        <v>0.95</v>
      </c>
      <c r="F172" s="135">
        <f t="shared" si="29"/>
        <v>130843.58</v>
      </c>
      <c r="G172" s="135">
        <f t="shared" si="30"/>
        <v>130843.58</v>
      </c>
      <c r="H172" s="85"/>
    </row>
    <row r="173" spans="1:8">
      <c r="A173" s="125" t="s">
        <v>109</v>
      </c>
      <c r="B173" s="124"/>
      <c r="C173" s="124"/>
      <c r="D173" s="124"/>
      <c r="E173" s="124"/>
      <c r="F173" s="136"/>
      <c r="G173" s="136">
        <f>SUM(G157:G172)</f>
        <v>16842765.27</v>
      </c>
      <c r="H173" s="85"/>
    </row>
    <row r="174" spans="1:8">
      <c r="A174" s="124"/>
      <c r="B174" s="124"/>
      <c r="C174" s="124"/>
      <c r="D174" s="124"/>
      <c r="E174" s="124"/>
      <c r="F174" s="124"/>
      <c r="G174" s="124"/>
      <c r="H174" s="85"/>
    </row>
    <row r="175" spans="1:8">
      <c r="A175" s="124"/>
      <c r="B175" s="124"/>
      <c r="C175" s="124"/>
      <c r="D175" s="124"/>
      <c r="E175" s="124"/>
      <c r="F175" s="124"/>
      <c r="G175" s="124"/>
      <c r="H175" s="85"/>
    </row>
    <row r="176" spans="1:8">
      <c r="A176" s="125" t="s">
        <v>346</v>
      </c>
      <c r="B176" s="124"/>
      <c r="C176" s="125" t="s">
        <v>348</v>
      </c>
      <c r="D176" s="124"/>
      <c r="E176" s="124"/>
      <c r="F176" s="124"/>
      <c r="G176" s="124"/>
      <c r="H176" s="85"/>
    </row>
    <row r="177" spans="1:8">
      <c r="A177" s="124">
        <f>C114+0.01</f>
        <v>1.17</v>
      </c>
      <c r="B177" s="124"/>
      <c r="C177" s="126">
        <f>SUM($B$109:$F$109)/5*A177</f>
        <v>25532.254910758227</v>
      </c>
      <c r="D177" s="124"/>
      <c r="E177" s="124"/>
      <c r="F177" s="124"/>
      <c r="G177" s="124"/>
      <c r="H177" s="85"/>
    </row>
    <row r="178" spans="1:8">
      <c r="A178" s="124"/>
      <c r="B178" s="124"/>
      <c r="C178" s="124"/>
      <c r="D178" s="124"/>
      <c r="E178" s="124"/>
      <c r="F178" s="124"/>
      <c r="G178" s="124"/>
      <c r="H178" s="85"/>
    </row>
    <row r="179" spans="1:8">
      <c r="A179" s="127" t="s">
        <v>349</v>
      </c>
      <c r="B179" s="128"/>
      <c r="C179" s="128"/>
      <c r="D179" s="128"/>
      <c r="E179" s="128"/>
      <c r="F179" s="128"/>
      <c r="G179" s="128"/>
      <c r="H179" s="85"/>
    </row>
    <row r="180" spans="1:8" ht="24.75">
      <c r="A180" s="137"/>
      <c r="B180" s="137" t="s">
        <v>350</v>
      </c>
      <c r="C180" s="137" t="s">
        <v>356</v>
      </c>
      <c r="D180" s="137" t="s">
        <v>4</v>
      </c>
      <c r="E180" s="127"/>
      <c r="F180" s="127"/>
      <c r="G180" s="127">
        <f>H29</f>
        <v>2025</v>
      </c>
      <c r="H180" s="85"/>
    </row>
    <row r="181" spans="1:8">
      <c r="A181" s="125" t="s">
        <v>93</v>
      </c>
      <c r="B181" s="126">
        <f t="shared" ref="B181:B196" si="31">$C$177-G93</f>
        <v>-789.614948312872</v>
      </c>
      <c r="C181" s="131">
        <f t="shared" ref="C181:C196" si="32">IF(H30&lt;$H$46,H30,$H$46)</f>
        <v>0.17693110000000001</v>
      </c>
      <c r="D181" s="126">
        <f>I72</f>
        <v>436</v>
      </c>
      <c r="E181" s="132">
        <v>0.95</v>
      </c>
      <c r="F181" s="132">
        <f>ROUND(B181*C181*D181*E181,2)</f>
        <v>-57866.82</v>
      </c>
      <c r="G181" s="132">
        <f>IF(F181&gt;0,F181,0)</f>
        <v>0</v>
      </c>
      <c r="H181" s="85"/>
    </row>
    <row r="182" spans="1:8">
      <c r="A182" s="125" t="s">
        <v>94</v>
      </c>
      <c r="B182" s="126">
        <f t="shared" si="31"/>
        <v>8016.0126782431762</v>
      </c>
      <c r="C182" s="131">
        <f t="shared" si="32"/>
        <v>0.17693110000000001</v>
      </c>
      <c r="D182" s="126">
        <f t="shared" ref="D182:D196" si="33">I73</f>
        <v>942</v>
      </c>
      <c r="E182" s="132">
        <v>0.95</v>
      </c>
      <c r="F182" s="132">
        <f t="shared" ref="F182:F196" si="34">ROUND(B182*C182*D182*E182,2)</f>
        <v>1269220.51</v>
      </c>
      <c r="G182" s="132">
        <f t="shared" ref="G182:G196" si="35">IF(F182&gt;0,F182,0)</f>
        <v>1269220.51</v>
      </c>
      <c r="H182" s="85"/>
    </row>
    <row r="183" spans="1:8">
      <c r="A183" s="125" t="s">
        <v>95</v>
      </c>
      <c r="B183" s="126">
        <f t="shared" si="31"/>
        <v>6635.0867942672485</v>
      </c>
      <c r="C183" s="131">
        <f t="shared" si="32"/>
        <v>0.17693110000000001</v>
      </c>
      <c r="D183" s="126">
        <f t="shared" si="33"/>
        <v>2610</v>
      </c>
      <c r="E183" s="132">
        <v>0.95</v>
      </c>
      <c r="F183" s="132">
        <f t="shared" si="34"/>
        <v>2910816.97</v>
      </c>
      <c r="G183" s="132">
        <f t="shared" si="35"/>
        <v>2910816.97</v>
      </c>
      <c r="H183" s="85"/>
    </row>
    <row r="184" spans="1:8">
      <c r="A184" s="125" t="s">
        <v>96</v>
      </c>
      <c r="B184" s="126">
        <f t="shared" si="31"/>
        <v>6528.7529508239022</v>
      </c>
      <c r="C184" s="131">
        <f t="shared" si="32"/>
        <v>0.17693110000000001</v>
      </c>
      <c r="D184" s="126">
        <f t="shared" si="33"/>
        <v>509</v>
      </c>
      <c r="E184" s="132">
        <v>0.95</v>
      </c>
      <c r="F184" s="132">
        <f t="shared" si="34"/>
        <v>558567.68000000005</v>
      </c>
      <c r="G184" s="132">
        <f t="shared" si="35"/>
        <v>558567.68000000005</v>
      </c>
      <c r="H184" s="85"/>
    </row>
    <row r="185" spans="1:8">
      <c r="A185" s="125" t="s">
        <v>97</v>
      </c>
      <c r="B185" s="126">
        <f t="shared" si="31"/>
        <v>12735.591746638371</v>
      </c>
      <c r="C185" s="131">
        <f t="shared" si="32"/>
        <v>0.17693110000000001</v>
      </c>
      <c r="D185" s="126">
        <f t="shared" si="33"/>
        <v>509</v>
      </c>
      <c r="E185" s="132">
        <v>0.95</v>
      </c>
      <c r="F185" s="132">
        <f t="shared" si="34"/>
        <v>1089593.98</v>
      </c>
      <c r="G185" s="132">
        <f t="shared" si="35"/>
        <v>1089593.98</v>
      </c>
      <c r="H185" s="85"/>
    </row>
    <row r="186" spans="1:8">
      <c r="A186" s="125" t="s">
        <v>98</v>
      </c>
      <c r="B186" s="126">
        <f t="shared" si="31"/>
        <v>8742.8633103392094</v>
      </c>
      <c r="C186" s="131">
        <f t="shared" si="32"/>
        <v>0.17693110000000001</v>
      </c>
      <c r="D186" s="126">
        <f t="shared" si="33"/>
        <v>1646</v>
      </c>
      <c r="E186" s="132">
        <v>0.95</v>
      </c>
      <c r="F186" s="132">
        <f t="shared" si="34"/>
        <v>2418863.17</v>
      </c>
      <c r="G186" s="132">
        <f t="shared" si="35"/>
        <v>2418863.17</v>
      </c>
      <c r="H186" s="85"/>
    </row>
    <row r="187" spans="1:8">
      <c r="A187" s="125" t="s">
        <v>99</v>
      </c>
      <c r="B187" s="126">
        <f t="shared" si="31"/>
        <v>3464.7592206702648</v>
      </c>
      <c r="C187" s="131">
        <f t="shared" si="32"/>
        <v>0.17499999999999999</v>
      </c>
      <c r="D187" s="126">
        <f t="shared" si="33"/>
        <v>5697</v>
      </c>
      <c r="E187" s="132">
        <v>0.95</v>
      </c>
      <c r="F187" s="132">
        <f t="shared" si="34"/>
        <v>3281564.41</v>
      </c>
      <c r="G187" s="132">
        <f t="shared" si="35"/>
        <v>3281564.41</v>
      </c>
      <c r="H187" s="85"/>
    </row>
    <row r="188" spans="1:8">
      <c r="A188" s="125" t="s">
        <v>100</v>
      </c>
      <c r="B188" s="126">
        <f t="shared" si="31"/>
        <v>6111.479579431787</v>
      </c>
      <c r="C188" s="131">
        <f t="shared" si="32"/>
        <v>0.17693110000000001</v>
      </c>
      <c r="D188" s="126">
        <f t="shared" si="33"/>
        <v>290</v>
      </c>
      <c r="E188" s="132">
        <v>0.95</v>
      </c>
      <c r="F188" s="132">
        <f t="shared" si="34"/>
        <v>297901.13</v>
      </c>
      <c r="G188" s="132">
        <f t="shared" si="35"/>
        <v>297901.13</v>
      </c>
      <c r="H188" s="85"/>
    </row>
    <row r="189" spans="1:8">
      <c r="A189" s="125" t="s">
        <v>101</v>
      </c>
      <c r="B189" s="126">
        <f t="shared" si="31"/>
        <v>9742.7921139673417</v>
      </c>
      <c r="C189" s="131">
        <f t="shared" si="32"/>
        <v>0.17693110000000001</v>
      </c>
      <c r="D189" s="126">
        <f t="shared" si="33"/>
        <v>225</v>
      </c>
      <c r="E189" s="132">
        <v>0.95</v>
      </c>
      <c r="F189" s="132">
        <f t="shared" si="34"/>
        <v>368462.88</v>
      </c>
      <c r="G189" s="132">
        <f t="shared" si="35"/>
        <v>368462.88</v>
      </c>
      <c r="H189" s="85"/>
    </row>
    <row r="190" spans="1:8">
      <c r="A190" s="125" t="s">
        <v>102</v>
      </c>
      <c r="B190" s="126">
        <f t="shared" si="31"/>
        <v>5683.6052976883839</v>
      </c>
      <c r="C190" s="131">
        <f t="shared" si="32"/>
        <v>0.17693110000000001</v>
      </c>
      <c r="D190" s="126">
        <f t="shared" si="33"/>
        <v>2127</v>
      </c>
      <c r="E190" s="132">
        <v>0.95</v>
      </c>
      <c r="F190" s="132">
        <f t="shared" si="34"/>
        <v>2031978.85</v>
      </c>
      <c r="G190" s="132">
        <f t="shared" si="35"/>
        <v>2031978.85</v>
      </c>
      <c r="H190" s="85"/>
    </row>
    <row r="191" spans="1:8">
      <c r="A191" s="125" t="s">
        <v>103</v>
      </c>
      <c r="B191" s="126">
        <f t="shared" si="31"/>
        <v>5415.5945363451901</v>
      </c>
      <c r="C191" s="131">
        <f t="shared" si="32"/>
        <v>0.17693110000000001</v>
      </c>
      <c r="D191" s="126">
        <f t="shared" si="33"/>
        <v>366</v>
      </c>
      <c r="E191" s="132">
        <v>0.95</v>
      </c>
      <c r="F191" s="132">
        <f t="shared" si="34"/>
        <v>333161.65000000002</v>
      </c>
      <c r="G191" s="132">
        <f t="shared" si="35"/>
        <v>333161.65000000002</v>
      </c>
      <c r="H191" s="85"/>
    </row>
    <row r="192" spans="1:8">
      <c r="A192" s="125" t="s">
        <v>104</v>
      </c>
      <c r="B192" s="126">
        <f t="shared" si="31"/>
        <v>4515.4195787986719</v>
      </c>
      <c r="C192" s="131">
        <f t="shared" si="32"/>
        <v>0.17693110000000001</v>
      </c>
      <c r="D192" s="126">
        <f t="shared" si="33"/>
        <v>1791</v>
      </c>
      <c r="E192" s="132">
        <v>0.95</v>
      </c>
      <c r="F192" s="132">
        <f t="shared" si="34"/>
        <v>1359319.29</v>
      </c>
      <c r="G192" s="132">
        <f t="shared" si="35"/>
        <v>1359319.29</v>
      </c>
      <c r="H192" s="85"/>
    </row>
    <row r="193" spans="1:14">
      <c r="A193" s="125" t="s">
        <v>105</v>
      </c>
      <c r="B193" s="126">
        <f t="shared" si="31"/>
        <v>5707.0615445847143</v>
      </c>
      <c r="C193" s="131">
        <f t="shared" si="32"/>
        <v>0.17693110000000001</v>
      </c>
      <c r="D193" s="126">
        <f t="shared" si="33"/>
        <v>115</v>
      </c>
      <c r="E193" s="132">
        <v>0.95</v>
      </c>
      <c r="F193" s="132">
        <f t="shared" si="34"/>
        <v>110315.92</v>
      </c>
      <c r="G193" s="132">
        <f t="shared" si="35"/>
        <v>110315.92</v>
      </c>
      <c r="H193" s="85"/>
      <c r="I193" s="876"/>
      <c r="J193" s="876"/>
      <c r="K193" s="876"/>
      <c r="L193" s="876"/>
      <c r="M193" s="876"/>
      <c r="N193" s="876"/>
    </row>
    <row r="194" spans="1:14">
      <c r="A194" s="125" t="s">
        <v>106</v>
      </c>
      <c r="B194" s="126">
        <f t="shared" si="31"/>
        <v>7619.5097127128283</v>
      </c>
      <c r="C194" s="131">
        <f t="shared" si="32"/>
        <v>0.17693110000000001</v>
      </c>
      <c r="D194" s="126">
        <f t="shared" si="33"/>
        <v>995</v>
      </c>
      <c r="E194" s="132">
        <v>0.95</v>
      </c>
      <c r="F194" s="132">
        <f t="shared" si="34"/>
        <v>1274318.21</v>
      </c>
      <c r="G194" s="132">
        <f t="shared" si="35"/>
        <v>1274318.21</v>
      </c>
      <c r="H194" s="85"/>
      <c r="I194" s="876"/>
      <c r="J194" s="876"/>
      <c r="K194" s="876"/>
      <c r="L194" s="876"/>
      <c r="M194" s="876"/>
      <c r="N194" s="876"/>
    </row>
    <row r="195" spans="1:14">
      <c r="A195" s="125" t="s">
        <v>107</v>
      </c>
      <c r="B195" s="126">
        <f t="shared" si="31"/>
        <v>9413.6162750188196</v>
      </c>
      <c r="C195" s="131">
        <f t="shared" si="32"/>
        <v>0.17693110000000001</v>
      </c>
      <c r="D195" s="126">
        <f t="shared" si="33"/>
        <v>471</v>
      </c>
      <c r="E195" s="132">
        <v>0.95</v>
      </c>
      <c r="F195" s="132">
        <f t="shared" si="34"/>
        <v>745255.49</v>
      </c>
      <c r="G195" s="132">
        <f t="shared" si="35"/>
        <v>745255.49</v>
      </c>
      <c r="H195" s="85"/>
      <c r="I195" s="876"/>
      <c r="J195" s="876"/>
      <c r="K195" s="876"/>
      <c r="L195" s="876"/>
      <c r="M195" s="876"/>
      <c r="N195" s="876"/>
    </row>
    <row r="196" spans="1:14">
      <c r="A196" s="127" t="s">
        <v>108</v>
      </c>
      <c r="B196" s="133">
        <f t="shared" si="31"/>
        <v>505.03811314695122</v>
      </c>
      <c r="C196" s="134">
        <f t="shared" si="32"/>
        <v>0.17</v>
      </c>
      <c r="D196" s="926">
        <f t="shared" si="33"/>
        <v>11812</v>
      </c>
      <c r="E196" s="135">
        <v>0.95</v>
      </c>
      <c r="F196" s="135">
        <f t="shared" si="34"/>
        <v>963429.9</v>
      </c>
      <c r="G196" s="135">
        <f t="shared" si="35"/>
        <v>963429.9</v>
      </c>
      <c r="H196" s="85"/>
      <c r="I196" s="876"/>
      <c r="J196" s="876"/>
      <c r="K196" s="876"/>
      <c r="L196" s="876"/>
      <c r="M196" s="876"/>
      <c r="N196" s="876"/>
    </row>
    <row r="197" spans="1:14">
      <c r="A197" s="125" t="s">
        <v>109</v>
      </c>
      <c r="B197" s="124"/>
      <c r="C197" s="124"/>
      <c r="D197" s="124"/>
      <c r="E197" s="124"/>
      <c r="F197" s="136"/>
      <c r="G197" s="136">
        <f>SUM(G181:G196)</f>
        <v>19012770.039999999</v>
      </c>
      <c r="H197" s="85"/>
      <c r="I197" s="876"/>
      <c r="J197" s="876"/>
      <c r="K197" s="876"/>
      <c r="L197" s="876"/>
      <c r="M197" s="876"/>
      <c r="N197" s="876"/>
    </row>
    <row r="198" spans="1:14">
      <c r="A198" s="85"/>
      <c r="B198" s="85"/>
      <c r="C198" s="85"/>
      <c r="D198" s="85"/>
      <c r="E198" s="85"/>
      <c r="F198" s="85"/>
      <c r="G198" s="85"/>
      <c r="H198" s="85"/>
      <c r="I198" s="876"/>
      <c r="J198" s="876"/>
      <c r="K198" s="876"/>
      <c r="L198" s="876"/>
      <c r="M198" s="876"/>
      <c r="N198" s="876"/>
    </row>
    <row r="200" spans="1:14" s="490" customFormat="1">
      <c r="A200" s="919" t="s">
        <v>357</v>
      </c>
      <c r="B200" s="919"/>
      <c r="C200" s="919"/>
      <c r="D200" s="919"/>
      <c r="E200" s="919"/>
      <c r="F200" s="919"/>
      <c r="G200" s="919"/>
      <c r="H200" s="919"/>
      <c r="I200" s="919"/>
      <c r="J200" s="919"/>
      <c r="K200" s="919"/>
      <c r="L200" s="919"/>
      <c r="M200" s="919"/>
      <c r="N200" s="919"/>
    </row>
    <row r="202" spans="1:14">
      <c r="A202" s="700"/>
      <c r="B202" s="700"/>
      <c r="C202" s="701"/>
      <c r="D202" s="700"/>
      <c r="E202" s="702"/>
      <c r="F202" s="700"/>
      <c r="G202" s="700"/>
      <c r="H202" s="700"/>
      <c r="I202" s="700"/>
      <c r="J202" s="703"/>
      <c r="K202" s="704"/>
      <c r="L202" s="705"/>
      <c r="M202" s="705"/>
      <c r="N202" s="705"/>
    </row>
    <row r="203" spans="1:14">
      <c r="A203" s="703"/>
      <c r="B203" s="703"/>
      <c r="C203" s="706"/>
      <c r="D203" s="703"/>
      <c r="E203" s="703"/>
      <c r="F203" s="703"/>
      <c r="G203" s="703"/>
      <c r="H203" s="703"/>
      <c r="I203" s="703"/>
      <c r="J203" s="707"/>
      <c r="K203" s="708"/>
      <c r="L203" s="705"/>
      <c r="M203" s="705"/>
      <c r="N203" s="705"/>
    </row>
    <row r="204" spans="1:14">
      <c r="A204" s="38"/>
      <c r="B204" s="703"/>
      <c r="C204" s="706"/>
      <c r="D204" s="703"/>
      <c r="E204" s="703"/>
      <c r="F204" s="703"/>
      <c r="G204" s="703"/>
      <c r="H204" s="703"/>
      <c r="I204" s="703"/>
      <c r="J204" s="709"/>
      <c r="K204" s="709"/>
      <c r="L204" s="705"/>
      <c r="M204" s="705"/>
      <c r="N204" s="705"/>
    </row>
    <row r="205" spans="1:14">
      <c r="A205" s="703"/>
      <c r="B205" s="703"/>
      <c r="C205" s="706"/>
      <c r="D205" s="703"/>
      <c r="E205" s="703"/>
      <c r="F205" s="703"/>
      <c r="G205" s="703"/>
      <c r="H205" s="703"/>
      <c r="I205" s="703"/>
      <c r="J205" s="705"/>
      <c r="K205" s="705"/>
      <c r="L205" s="705"/>
      <c r="M205" s="705"/>
      <c r="N205" s="705"/>
    </row>
    <row r="206" spans="1:14">
      <c r="A206" s="705"/>
      <c r="B206" s="705"/>
      <c r="C206" s="710"/>
      <c r="D206" s="705"/>
      <c r="E206" s="705"/>
      <c r="F206" s="705"/>
      <c r="G206" s="705"/>
      <c r="H206" s="705"/>
      <c r="I206" s="705"/>
      <c r="J206" s="705"/>
      <c r="K206" s="705"/>
      <c r="L206" s="705"/>
      <c r="M206" s="705"/>
      <c r="N206" s="705"/>
    </row>
    <row r="207" spans="1:14">
      <c r="A207" s="705"/>
      <c r="B207" s="705"/>
      <c r="C207" s="710"/>
      <c r="D207" s="705"/>
      <c r="E207" s="705"/>
      <c r="F207" s="705"/>
      <c r="G207" s="705"/>
      <c r="H207" s="705"/>
      <c r="I207" s="705"/>
      <c r="J207" s="705"/>
      <c r="K207" s="705"/>
      <c r="L207" s="705"/>
      <c r="M207" s="705"/>
      <c r="N207" s="705"/>
    </row>
    <row r="208" spans="1:14">
      <c r="A208" s="38"/>
      <c r="B208" s="38"/>
      <c r="C208" s="711"/>
      <c r="D208" s="39"/>
      <c r="E208" s="38"/>
      <c r="F208" s="38"/>
      <c r="G208" s="705"/>
      <c r="H208" s="705"/>
      <c r="I208" s="705"/>
      <c r="J208" s="705"/>
      <c r="K208" s="705"/>
      <c r="L208" s="705"/>
      <c r="M208" s="705"/>
      <c r="N208" s="705"/>
    </row>
    <row r="209" spans="1:14">
      <c r="A209" s="38"/>
      <c r="B209" s="38"/>
      <c r="C209" s="711"/>
      <c r="D209" s="39"/>
      <c r="E209" s="38"/>
      <c r="F209" s="38"/>
      <c r="G209" s="705"/>
      <c r="H209" s="705"/>
      <c r="I209" s="705"/>
      <c r="J209" s="705"/>
      <c r="K209" s="705"/>
      <c r="L209" s="705"/>
      <c r="M209" s="705"/>
      <c r="N209" s="705"/>
    </row>
    <row r="210" spans="1:14">
      <c r="A210" s="712"/>
      <c r="B210" s="38"/>
      <c r="C210" s="711"/>
      <c r="D210" s="39"/>
      <c r="E210" s="38"/>
      <c r="F210" s="38"/>
      <c r="G210" s="705"/>
      <c r="H210" s="705"/>
      <c r="I210" s="705"/>
      <c r="J210" s="705"/>
      <c r="K210" s="705"/>
      <c r="L210" s="705"/>
      <c r="M210" s="705"/>
      <c r="N210" s="705"/>
    </row>
    <row r="211" spans="1:14">
      <c r="A211" s="38"/>
      <c r="B211" s="38"/>
      <c r="C211" s="711"/>
      <c r="D211" s="39"/>
      <c r="E211" s="38"/>
      <c r="F211" s="38"/>
      <c r="G211" s="705"/>
      <c r="H211" s="705"/>
      <c r="I211" s="705"/>
      <c r="J211" s="705"/>
      <c r="K211" s="705"/>
      <c r="L211" s="705"/>
      <c r="M211" s="705"/>
      <c r="N211" s="705"/>
    </row>
    <row r="212" spans="1:14">
      <c r="A212" s="705"/>
      <c r="B212" s="705"/>
      <c r="C212" s="710"/>
      <c r="D212" s="705"/>
      <c r="E212" s="705"/>
      <c r="F212" s="705"/>
      <c r="G212" s="705"/>
      <c r="H212" s="705"/>
      <c r="I212" s="705"/>
      <c r="J212" s="705"/>
      <c r="K212" s="705"/>
      <c r="L212" s="705"/>
      <c r="M212" s="705"/>
      <c r="N212" s="705"/>
    </row>
    <row r="213" spans="1:14">
      <c r="A213" s="713"/>
      <c r="B213" s="714"/>
      <c r="C213" s="715"/>
      <c r="D213" s="716"/>
      <c r="E213" s="716"/>
      <c r="F213" s="717"/>
      <c r="G213" s="716"/>
      <c r="H213" s="716"/>
      <c r="I213" s="716"/>
      <c r="J213" s="716"/>
      <c r="K213" s="716"/>
      <c r="L213" s="716"/>
      <c r="M213" s="716"/>
      <c r="N213" s="716"/>
    </row>
    <row r="214" spans="1:14">
      <c r="A214" s="718"/>
      <c r="B214" s="719"/>
      <c r="C214" s="720"/>
      <c r="D214" s="721"/>
      <c r="E214" s="722"/>
      <c r="F214" s="721"/>
      <c r="G214" s="721"/>
      <c r="H214" s="721"/>
      <c r="I214" s="721"/>
      <c r="J214" s="721"/>
      <c r="K214" s="721"/>
      <c r="L214" s="721"/>
      <c r="M214" s="723"/>
      <c r="N214" s="705"/>
    </row>
    <row r="215" spans="1:14">
      <c r="A215" s="718"/>
      <c r="B215" s="719"/>
      <c r="C215" s="720"/>
      <c r="D215" s="721"/>
      <c r="E215" s="722"/>
      <c r="F215" s="721"/>
      <c r="G215" s="721"/>
      <c r="H215" s="721"/>
      <c r="I215" s="721"/>
      <c r="J215" s="721"/>
      <c r="K215" s="721"/>
      <c r="L215" s="721"/>
      <c r="M215" s="723"/>
      <c r="N215" s="705"/>
    </row>
    <row r="216" spans="1:14">
      <c r="A216" s="718"/>
      <c r="B216" s="719"/>
      <c r="C216" s="720"/>
      <c r="D216" s="721"/>
      <c r="E216" s="722"/>
      <c r="F216" s="721"/>
      <c r="G216" s="721"/>
      <c r="H216" s="721"/>
      <c r="I216" s="721"/>
      <c r="J216" s="721"/>
      <c r="K216" s="721"/>
      <c r="L216" s="721"/>
      <c r="M216" s="723"/>
      <c r="N216" s="705"/>
    </row>
    <row r="217" spans="1:14">
      <c r="A217" s="718"/>
      <c r="B217" s="719"/>
      <c r="C217" s="720"/>
      <c r="D217" s="721"/>
      <c r="E217" s="722"/>
      <c r="F217" s="721"/>
      <c r="G217" s="721"/>
      <c r="H217" s="721"/>
      <c r="I217" s="721"/>
      <c r="J217" s="721"/>
      <c r="K217" s="721"/>
      <c r="L217" s="721"/>
      <c r="M217" s="723"/>
      <c r="N217" s="705"/>
    </row>
    <row r="218" spans="1:14">
      <c r="A218" s="718"/>
      <c r="B218" s="719"/>
      <c r="C218" s="720"/>
      <c r="D218" s="721"/>
      <c r="E218" s="722"/>
      <c r="F218" s="721"/>
      <c r="G218" s="721"/>
      <c r="H218" s="721"/>
      <c r="I218" s="721"/>
      <c r="J218" s="721"/>
      <c r="K218" s="721"/>
      <c r="L218" s="721"/>
      <c r="M218" s="723"/>
      <c r="N218" s="705"/>
    </row>
    <row r="219" spans="1:14">
      <c r="A219" s="718"/>
      <c r="B219" s="719"/>
      <c r="C219" s="720"/>
      <c r="D219" s="721"/>
      <c r="E219" s="722"/>
      <c r="F219" s="721"/>
      <c r="G219" s="721"/>
      <c r="H219" s="721"/>
      <c r="I219" s="721"/>
      <c r="J219" s="721"/>
      <c r="K219" s="721"/>
      <c r="L219" s="721"/>
      <c r="M219" s="723"/>
      <c r="N219" s="705"/>
    </row>
    <row r="220" spans="1:14">
      <c r="A220" s="718"/>
      <c r="B220" s="719"/>
      <c r="C220" s="720"/>
      <c r="D220" s="721"/>
      <c r="E220" s="722"/>
      <c r="F220" s="721"/>
      <c r="G220" s="721"/>
      <c r="H220" s="721"/>
      <c r="I220" s="721"/>
      <c r="J220" s="721"/>
      <c r="K220" s="721"/>
      <c r="L220" s="721"/>
      <c r="M220" s="723"/>
      <c r="N220" s="705"/>
    </row>
    <row r="221" spans="1:14">
      <c r="A221" s="718"/>
      <c r="B221" s="719"/>
      <c r="C221" s="720"/>
      <c r="D221" s="721"/>
      <c r="E221" s="722"/>
      <c r="F221" s="721"/>
      <c r="G221" s="721"/>
      <c r="H221" s="721"/>
      <c r="I221" s="721"/>
      <c r="J221" s="721"/>
      <c r="K221" s="721"/>
      <c r="L221" s="721"/>
      <c r="M221" s="723"/>
      <c r="N221" s="705"/>
    </row>
    <row r="222" spans="1:14">
      <c r="A222" s="718"/>
      <c r="B222" s="719"/>
      <c r="C222" s="720"/>
      <c r="D222" s="721"/>
      <c r="E222" s="722"/>
      <c r="F222" s="721"/>
      <c r="G222" s="721"/>
      <c r="H222" s="721"/>
      <c r="I222" s="721"/>
      <c r="J222" s="721"/>
      <c r="K222" s="721"/>
      <c r="L222" s="721"/>
      <c r="M222" s="723"/>
      <c r="N222" s="705"/>
    </row>
    <row r="223" spans="1:14">
      <c r="A223" s="718"/>
      <c r="B223" s="719"/>
      <c r="C223" s="720"/>
      <c r="D223" s="721"/>
      <c r="E223" s="722"/>
      <c r="F223" s="721"/>
      <c r="G223" s="721"/>
      <c r="H223" s="721"/>
      <c r="I223" s="721"/>
      <c r="J223" s="721"/>
      <c r="K223" s="721"/>
      <c r="L223" s="721"/>
      <c r="M223" s="723"/>
      <c r="N223" s="705"/>
    </row>
    <row r="224" spans="1:14">
      <c r="A224" s="718"/>
      <c r="B224" s="719"/>
      <c r="C224" s="720"/>
      <c r="D224" s="721"/>
      <c r="E224" s="722"/>
      <c r="F224" s="721"/>
      <c r="G224" s="721"/>
      <c r="H224" s="721"/>
      <c r="I224" s="721"/>
      <c r="J224" s="721"/>
      <c r="K224" s="721"/>
      <c r="L224" s="721"/>
      <c r="M224" s="723"/>
      <c r="N224" s="705"/>
    </row>
    <row r="225" spans="1:15">
      <c r="A225" s="718"/>
      <c r="B225" s="719"/>
      <c r="C225" s="720"/>
      <c r="D225" s="721"/>
      <c r="E225" s="722"/>
      <c r="F225" s="721"/>
      <c r="G225" s="721"/>
      <c r="H225" s="721"/>
      <c r="I225" s="721"/>
      <c r="J225" s="721"/>
      <c r="K225" s="721"/>
      <c r="L225" s="721"/>
      <c r="M225" s="723"/>
      <c r="N225" s="705"/>
      <c r="O225" s="876"/>
    </row>
    <row r="226" spans="1:15">
      <c r="A226" s="718"/>
      <c r="B226" s="719"/>
      <c r="C226" s="720"/>
      <c r="D226" s="721"/>
      <c r="E226" s="722"/>
      <c r="F226" s="721"/>
      <c r="G226" s="721"/>
      <c r="H226" s="721"/>
      <c r="I226" s="721"/>
      <c r="J226" s="721"/>
      <c r="K226" s="721"/>
      <c r="L226" s="721"/>
      <c r="M226" s="723"/>
      <c r="N226" s="705"/>
      <c r="O226" s="876"/>
    </row>
    <row r="227" spans="1:15" ht="15.75">
      <c r="A227" s="718"/>
      <c r="B227" s="719"/>
      <c r="C227" s="720"/>
      <c r="D227" s="721"/>
      <c r="E227" s="722"/>
      <c r="F227" s="721"/>
      <c r="G227" s="721"/>
      <c r="H227" s="721"/>
      <c r="I227" s="721"/>
      <c r="J227" s="721"/>
      <c r="K227" s="721"/>
      <c r="L227" s="721"/>
      <c r="M227" s="723"/>
      <c r="N227" s="705"/>
      <c r="O227"/>
    </row>
    <row r="228" spans="1:15" ht="15.75">
      <c r="A228" s="718"/>
      <c r="B228" s="719"/>
      <c r="C228" s="720"/>
      <c r="D228" s="721"/>
      <c r="E228" s="722"/>
      <c r="F228" s="721"/>
      <c r="G228" s="721"/>
      <c r="H228" s="721"/>
      <c r="I228" s="721"/>
      <c r="J228" s="721"/>
      <c r="K228" s="721"/>
      <c r="L228" s="721"/>
      <c r="M228" s="723"/>
      <c r="N228" s="705"/>
      <c r="O228"/>
    </row>
    <row r="229" spans="1:15" ht="15.75">
      <c r="A229" s="718"/>
      <c r="B229" s="719"/>
      <c r="C229" s="720"/>
      <c r="D229" s="721"/>
      <c r="E229" s="722"/>
      <c r="F229" s="721"/>
      <c r="G229" s="721"/>
      <c r="H229" s="721"/>
      <c r="I229" s="721"/>
      <c r="J229" s="721"/>
      <c r="K229" s="721"/>
      <c r="L229" s="721"/>
      <c r="M229" s="723"/>
      <c r="N229" s="705"/>
      <c r="O229"/>
    </row>
    <row r="230" spans="1:15" ht="15.75">
      <c r="A230" s="718"/>
      <c r="B230" s="719"/>
      <c r="C230" s="720"/>
      <c r="D230" s="721"/>
      <c r="E230" s="722"/>
      <c r="F230" s="721"/>
      <c r="G230" s="721"/>
      <c r="H230" s="721"/>
      <c r="I230" s="721"/>
      <c r="J230" s="721"/>
      <c r="K230" s="721"/>
      <c r="L230" s="721"/>
      <c r="M230" s="723"/>
      <c r="N230" s="705"/>
      <c r="O230"/>
    </row>
    <row r="231" spans="1:15" ht="15.75">
      <c r="A231" s="705"/>
      <c r="B231" s="705"/>
      <c r="C231" s="710"/>
      <c r="D231" s="705"/>
      <c r="E231" s="705"/>
      <c r="F231" s="705"/>
      <c r="G231" s="705"/>
      <c r="H231" s="705"/>
      <c r="I231" s="705"/>
      <c r="J231" s="705"/>
      <c r="K231" s="705"/>
      <c r="L231" s="705"/>
      <c r="M231" s="705"/>
      <c r="N231"/>
      <c r="O231"/>
    </row>
    <row r="232" spans="1:15" ht="15.75">
      <c r="A232" s="705"/>
      <c r="B232" s="705"/>
      <c r="C232" s="710"/>
      <c r="D232" s="705"/>
      <c r="E232" s="705"/>
      <c r="F232" s="705"/>
      <c r="G232" s="705"/>
      <c r="H232" s="705"/>
      <c r="I232" s="705"/>
      <c r="J232" s="705"/>
      <c r="K232" s="705"/>
      <c r="L232" s="705"/>
      <c r="M232" s="705"/>
      <c r="N232"/>
      <c r="O232"/>
    </row>
    <row r="233" spans="1:15" ht="15.75">
      <c r="A233" s="38"/>
      <c r="B233" s="38"/>
      <c r="C233" s="711"/>
      <c r="D233" s="39"/>
      <c r="E233" s="38"/>
      <c r="F233" s="38"/>
      <c r="G233" s="705"/>
      <c r="H233" s="705"/>
      <c r="I233" s="705"/>
      <c r="J233" s="705"/>
      <c r="K233" s="705"/>
      <c r="L233" s="705"/>
      <c r="M233" s="705"/>
      <c r="N233"/>
      <c r="O233"/>
    </row>
    <row r="234" spans="1:15" ht="15.75">
      <c r="A234" s="38"/>
      <c r="B234" s="38"/>
      <c r="C234" s="711"/>
      <c r="D234" s="39"/>
      <c r="E234" s="38"/>
      <c r="F234" s="38"/>
      <c r="G234" s="705"/>
      <c r="H234" s="705"/>
      <c r="I234" s="705"/>
      <c r="J234" s="705"/>
      <c r="K234" s="705"/>
      <c r="L234" s="705"/>
      <c r="M234" s="705"/>
      <c r="N234"/>
      <c r="O234"/>
    </row>
    <row r="235" spans="1:15" ht="15.75">
      <c r="A235" s="712"/>
      <c r="B235" s="38"/>
      <c r="C235" s="711"/>
      <c r="D235" s="39"/>
      <c r="E235" s="38"/>
      <c r="F235" s="38"/>
      <c r="G235" s="705"/>
      <c r="H235" s="705"/>
      <c r="I235" s="705"/>
      <c r="J235" s="705"/>
      <c r="K235" s="705"/>
      <c r="L235" s="705"/>
      <c r="M235" s="705"/>
      <c r="N235"/>
      <c r="O235"/>
    </row>
    <row r="236" spans="1:15" ht="15.75">
      <c r="A236" s="38"/>
      <c r="B236" s="38"/>
      <c r="C236" s="711"/>
      <c r="D236" s="39"/>
      <c r="E236" s="38"/>
      <c r="F236" s="38"/>
      <c r="G236" s="705"/>
      <c r="H236" s="705"/>
      <c r="I236" s="705"/>
      <c r="J236" s="705"/>
      <c r="K236" s="705"/>
      <c r="L236" s="705"/>
      <c r="M236" s="705"/>
      <c r="N236"/>
      <c r="O236"/>
    </row>
    <row r="237" spans="1:15" ht="15.75">
      <c r="A237" s="705"/>
      <c r="B237" s="705"/>
      <c r="C237" s="710"/>
      <c r="D237" s="705"/>
      <c r="E237" s="705"/>
      <c r="F237" s="705"/>
      <c r="G237" s="705"/>
      <c r="H237" s="705"/>
      <c r="I237" s="705"/>
      <c r="J237" s="705"/>
      <c r="K237" s="705"/>
      <c r="L237" s="705"/>
      <c r="M237" s="705"/>
      <c r="N237"/>
      <c r="O237"/>
    </row>
    <row r="238" spans="1:15">
      <c r="A238" s="713"/>
      <c r="B238" s="714"/>
      <c r="C238" s="715"/>
      <c r="D238" s="716"/>
      <c r="E238" s="716"/>
      <c r="F238" s="717"/>
      <c r="G238" s="716"/>
      <c r="H238" s="716"/>
      <c r="I238" s="716"/>
      <c r="J238" s="716"/>
      <c r="K238" s="716"/>
      <c r="L238" s="716"/>
      <c r="M238" s="716"/>
      <c r="N238" s="724"/>
      <c r="O238" s="724"/>
    </row>
    <row r="239" spans="1:15">
      <c r="A239" s="718"/>
      <c r="B239" s="719"/>
      <c r="C239" s="720"/>
      <c r="D239" s="721"/>
      <c r="E239" s="722"/>
      <c r="F239" s="721"/>
      <c r="G239" s="721"/>
      <c r="H239" s="721"/>
      <c r="I239" s="721"/>
      <c r="J239" s="721"/>
      <c r="K239" s="721"/>
      <c r="L239" s="721"/>
      <c r="M239" s="723"/>
      <c r="N239" s="721"/>
      <c r="O239" s="723"/>
    </row>
    <row r="240" spans="1:15">
      <c r="A240" s="718"/>
      <c r="B240" s="719"/>
      <c r="C240" s="720"/>
      <c r="D240" s="721"/>
      <c r="E240" s="722"/>
      <c r="F240" s="721"/>
      <c r="G240" s="721"/>
      <c r="H240" s="721"/>
      <c r="I240" s="721"/>
      <c r="J240" s="721"/>
      <c r="K240" s="721"/>
      <c r="L240" s="721"/>
      <c r="M240" s="723"/>
      <c r="N240" s="721"/>
      <c r="O240" s="723"/>
    </row>
    <row r="241" spans="1:15">
      <c r="A241" s="718"/>
      <c r="B241" s="719"/>
      <c r="C241" s="720"/>
      <c r="D241" s="721"/>
      <c r="E241" s="722"/>
      <c r="F241" s="721"/>
      <c r="G241" s="721"/>
      <c r="H241" s="721"/>
      <c r="I241" s="721"/>
      <c r="J241" s="721"/>
      <c r="K241" s="721"/>
      <c r="L241" s="721"/>
      <c r="M241" s="723"/>
      <c r="N241" s="721"/>
      <c r="O241" s="723"/>
    </row>
    <row r="242" spans="1:15">
      <c r="A242" s="718"/>
      <c r="B242" s="719"/>
      <c r="C242" s="720"/>
      <c r="D242" s="721"/>
      <c r="E242" s="722"/>
      <c r="F242" s="721"/>
      <c r="G242" s="721"/>
      <c r="H242" s="721"/>
      <c r="I242" s="721"/>
      <c r="J242" s="721"/>
      <c r="K242" s="721"/>
      <c r="L242" s="721"/>
      <c r="M242" s="723"/>
      <c r="N242" s="721"/>
      <c r="O242" s="723"/>
    </row>
    <row r="243" spans="1:15">
      <c r="A243" s="718"/>
      <c r="B243" s="719"/>
      <c r="C243" s="720"/>
      <c r="D243" s="721"/>
      <c r="E243" s="722"/>
      <c r="F243" s="721"/>
      <c r="G243" s="721"/>
      <c r="H243" s="721"/>
      <c r="I243" s="721"/>
      <c r="J243" s="721"/>
      <c r="K243" s="721"/>
      <c r="L243" s="721"/>
      <c r="M243" s="723"/>
      <c r="N243" s="721"/>
      <c r="O243" s="723"/>
    </row>
    <row r="244" spans="1:15">
      <c r="A244" s="718"/>
      <c r="B244" s="719"/>
      <c r="C244" s="720"/>
      <c r="D244" s="721"/>
      <c r="E244" s="722"/>
      <c r="F244" s="721"/>
      <c r="G244" s="721"/>
      <c r="H244" s="721"/>
      <c r="I244" s="721"/>
      <c r="J244" s="721"/>
      <c r="K244" s="721"/>
      <c r="L244" s="721"/>
      <c r="M244" s="723"/>
      <c r="N244" s="721"/>
      <c r="O244" s="723"/>
    </row>
    <row r="245" spans="1:15">
      <c r="A245" s="718"/>
      <c r="B245" s="719"/>
      <c r="C245" s="720"/>
      <c r="D245" s="721"/>
      <c r="E245" s="722"/>
      <c r="F245" s="721"/>
      <c r="G245" s="721"/>
      <c r="H245" s="721"/>
      <c r="I245" s="721"/>
      <c r="J245" s="721"/>
      <c r="K245" s="721"/>
      <c r="L245" s="721"/>
      <c r="M245" s="723"/>
      <c r="N245" s="721"/>
      <c r="O245" s="723"/>
    </row>
    <row r="246" spans="1:15">
      <c r="A246" s="718"/>
      <c r="B246" s="719"/>
      <c r="C246" s="720"/>
      <c r="D246" s="721"/>
      <c r="E246" s="722"/>
      <c r="F246" s="721"/>
      <c r="G246" s="721"/>
      <c r="H246" s="721"/>
      <c r="I246" s="721"/>
      <c r="J246" s="721"/>
      <c r="K246" s="721"/>
      <c r="L246" s="721"/>
      <c r="M246" s="723"/>
      <c r="N246" s="721"/>
      <c r="O246" s="723"/>
    </row>
    <row r="247" spans="1:15">
      <c r="A247" s="718"/>
      <c r="B247" s="719"/>
      <c r="C247" s="720"/>
      <c r="D247" s="721"/>
      <c r="E247" s="722"/>
      <c r="F247" s="721"/>
      <c r="G247" s="721"/>
      <c r="H247" s="721"/>
      <c r="I247" s="721"/>
      <c r="J247" s="721"/>
      <c r="K247" s="721"/>
      <c r="L247" s="721"/>
      <c r="M247" s="723"/>
      <c r="N247" s="721"/>
      <c r="O247" s="723"/>
    </row>
    <row r="248" spans="1:15">
      <c r="A248" s="718"/>
      <c r="B248" s="719"/>
      <c r="C248" s="720"/>
      <c r="D248" s="721"/>
      <c r="E248" s="722"/>
      <c r="F248" s="721"/>
      <c r="G248" s="721"/>
      <c r="H248" s="721"/>
      <c r="I248" s="721"/>
      <c r="J248" s="721"/>
      <c r="K248" s="721"/>
      <c r="L248" s="721"/>
      <c r="M248" s="723"/>
      <c r="N248" s="721"/>
      <c r="O248" s="723"/>
    </row>
    <row r="249" spans="1:15">
      <c r="A249" s="718"/>
      <c r="B249" s="719"/>
      <c r="C249" s="720"/>
      <c r="D249" s="721"/>
      <c r="E249" s="722"/>
      <c r="F249" s="721"/>
      <c r="G249" s="721"/>
      <c r="H249" s="721"/>
      <c r="I249" s="721"/>
      <c r="J249" s="721"/>
      <c r="K249" s="721"/>
      <c r="L249" s="721"/>
      <c r="M249" s="723"/>
      <c r="N249" s="721"/>
      <c r="O249" s="723"/>
    </row>
    <row r="250" spans="1:15">
      <c r="A250" s="718"/>
      <c r="B250" s="719"/>
      <c r="C250" s="720"/>
      <c r="D250" s="721"/>
      <c r="E250" s="722"/>
      <c r="F250" s="721"/>
      <c r="G250" s="721"/>
      <c r="H250" s="721"/>
      <c r="I250" s="721"/>
      <c r="J250" s="721"/>
      <c r="K250" s="721"/>
      <c r="L250" s="721"/>
      <c r="M250" s="723"/>
      <c r="N250" s="721"/>
      <c r="O250" s="723"/>
    </row>
    <row r="251" spans="1:15">
      <c r="A251" s="718"/>
      <c r="B251" s="719"/>
      <c r="C251" s="720"/>
      <c r="D251" s="721"/>
      <c r="E251" s="722"/>
      <c r="F251" s="721"/>
      <c r="G251" s="721"/>
      <c r="H251" s="721"/>
      <c r="I251" s="721"/>
      <c r="J251" s="721"/>
      <c r="K251" s="721"/>
      <c r="L251" s="721"/>
      <c r="M251" s="723"/>
      <c r="N251" s="721"/>
      <c r="O251" s="723"/>
    </row>
    <row r="252" spans="1:15">
      <c r="A252" s="718"/>
      <c r="B252" s="719"/>
      <c r="C252" s="720"/>
      <c r="D252" s="721"/>
      <c r="E252" s="722"/>
      <c r="F252" s="721"/>
      <c r="G252" s="721"/>
      <c r="H252" s="721"/>
      <c r="I252" s="721"/>
      <c r="J252" s="721"/>
      <c r="K252" s="721"/>
      <c r="L252" s="721"/>
      <c r="M252" s="723"/>
      <c r="N252" s="721"/>
      <c r="O252" s="723"/>
    </row>
    <row r="253" spans="1:15">
      <c r="A253" s="718"/>
      <c r="B253" s="719"/>
      <c r="C253" s="720"/>
      <c r="D253" s="721"/>
      <c r="E253" s="722"/>
      <c r="F253" s="721"/>
      <c r="G253" s="721"/>
      <c r="H253" s="721"/>
      <c r="I253" s="721"/>
      <c r="J253" s="721"/>
      <c r="K253" s="721"/>
      <c r="L253" s="721"/>
      <c r="M253" s="723"/>
      <c r="N253" s="721"/>
      <c r="O253" s="723"/>
    </row>
    <row r="254" spans="1:15">
      <c r="A254" s="718"/>
      <c r="B254" s="719"/>
      <c r="C254" s="720"/>
      <c r="D254" s="721"/>
      <c r="E254" s="722"/>
      <c r="F254" s="721"/>
      <c r="G254" s="721"/>
      <c r="H254" s="721"/>
      <c r="I254" s="721"/>
      <c r="J254" s="721"/>
      <c r="K254" s="721"/>
      <c r="L254" s="721"/>
      <c r="M254" s="723"/>
      <c r="N254" s="721"/>
      <c r="O254" s="723"/>
    </row>
    <row r="257" spans="1:15" ht="15.75">
      <c r="A257" s="485"/>
      <c r="B257"/>
      <c r="C257"/>
      <c r="D257"/>
      <c r="E257"/>
      <c r="F257"/>
      <c r="G257"/>
      <c r="H257"/>
      <c r="I257"/>
      <c r="J257"/>
      <c r="K257"/>
      <c r="L257"/>
      <c r="M257"/>
      <c r="N257"/>
      <c r="O257"/>
    </row>
    <row r="258" spans="1:15" ht="15.75">
      <c r="A258"/>
      <c r="B258"/>
      <c r="C258"/>
      <c r="D258"/>
      <c r="E258"/>
      <c r="F258"/>
      <c r="G258"/>
      <c r="H258"/>
      <c r="I258"/>
      <c r="J258"/>
      <c r="K258"/>
      <c r="L258"/>
      <c r="M258"/>
      <c r="N258"/>
      <c r="O258"/>
    </row>
    <row r="259" spans="1:15" ht="15.75">
      <c r="A259" s="85"/>
      <c r="B259" s="85"/>
      <c r="C259" s="876"/>
      <c r="D259" s="876"/>
      <c r="E259" s="85"/>
      <c r="F259" s="1154"/>
      <c r="G259" s="1154"/>
      <c r="H259" s="1154"/>
      <c r="I259" s="1154"/>
      <c r="J259" s="1154"/>
      <c r="K259" s="1154"/>
      <c r="L259" s="1154"/>
      <c r="M259" s="1154"/>
      <c r="N259"/>
      <c r="O259"/>
    </row>
    <row r="260" spans="1:15" ht="15.75">
      <c r="A260" s="85"/>
      <c r="B260" s="486"/>
      <c r="C260" s="1154"/>
      <c r="D260" s="1154"/>
      <c r="E260" s="486"/>
      <c r="F260" s="725"/>
      <c r="G260" s="725"/>
      <c r="H260" s="725"/>
      <c r="I260" s="726"/>
      <c r="J260" s="726"/>
      <c r="K260" s="726"/>
      <c r="L260" s="726"/>
      <c r="M260" s="726"/>
      <c r="N260" s="487"/>
      <c r="O260"/>
    </row>
    <row r="261" spans="1:15" ht="15.75">
      <c r="A261" s="85"/>
      <c r="B261" s="486"/>
      <c r="C261" s="486"/>
      <c r="D261" s="727"/>
      <c r="E261" s="85"/>
      <c r="F261" s="487"/>
      <c r="G261" s="487"/>
      <c r="H261" s="487"/>
      <c r="I261" s="487"/>
      <c r="J261" s="487"/>
      <c r="K261" s="487"/>
      <c r="L261" s="487"/>
      <c r="M261" s="487"/>
      <c r="N261" s="487"/>
      <c r="O261"/>
    </row>
    <row r="262" spans="1:15" ht="15.75">
      <c r="A262" s="85"/>
      <c r="B262" s="486"/>
      <c r="C262" s="486"/>
      <c r="D262" s="486"/>
      <c r="E262" s="85"/>
      <c r="F262" s="487"/>
      <c r="G262" s="487"/>
      <c r="H262" s="487"/>
      <c r="I262" s="487"/>
      <c r="J262" s="487"/>
      <c r="K262" s="487"/>
      <c r="L262" s="487"/>
      <c r="M262" s="487"/>
      <c r="N262" s="487"/>
      <c r="O262"/>
    </row>
    <row r="263" spans="1:15" ht="15.75">
      <c r="A263" s="85"/>
      <c r="B263" s="486"/>
      <c r="C263" s="486"/>
      <c r="D263" s="486"/>
      <c r="E263" s="85"/>
      <c r="F263" s="487"/>
      <c r="G263" s="487"/>
      <c r="H263" s="487"/>
      <c r="I263" s="487"/>
      <c r="J263" s="487"/>
      <c r="K263" s="487"/>
      <c r="L263" s="487"/>
      <c r="M263" s="487"/>
      <c r="N263" s="487"/>
      <c r="O263"/>
    </row>
    <row r="264" spans="1:15" ht="15.75">
      <c r="A264" s="85"/>
      <c r="B264" s="486"/>
      <c r="C264" s="486"/>
      <c r="D264" s="486"/>
      <c r="E264" s="85"/>
      <c r="F264" s="487"/>
      <c r="G264" s="487"/>
      <c r="H264" s="487"/>
      <c r="I264" s="487"/>
      <c r="J264" s="487"/>
      <c r="K264" s="487"/>
      <c r="L264" s="487"/>
      <c r="M264" s="487"/>
      <c r="N264" s="487"/>
      <c r="O264"/>
    </row>
    <row r="265" spans="1:15" ht="15.75">
      <c r="A265" s="85"/>
      <c r="B265" s="486"/>
      <c r="C265" s="486"/>
      <c r="D265" s="486"/>
      <c r="E265" s="85"/>
      <c r="F265" s="487"/>
      <c r="G265" s="487"/>
      <c r="H265" s="487"/>
      <c r="I265" s="487"/>
      <c r="J265" s="487"/>
      <c r="K265" s="487"/>
      <c r="L265" s="487"/>
      <c r="M265" s="487"/>
      <c r="N265" s="487"/>
      <c r="O265"/>
    </row>
    <row r="266" spans="1:15" ht="15.75">
      <c r="A266" s="85"/>
      <c r="B266" s="486"/>
      <c r="C266" s="486"/>
      <c r="D266" s="486"/>
      <c r="E266" s="85"/>
      <c r="F266" s="487"/>
      <c r="G266" s="487"/>
      <c r="H266" s="487"/>
      <c r="I266" s="487"/>
      <c r="J266" s="487"/>
      <c r="K266" s="487"/>
      <c r="L266" s="487"/>
      <c r="M266" s="487"/>
      <c r="N266" s="487"/>
      <c r="O266"/>
    </row>
    <row r="267" spans="1:15" ht="15.75">
      <c r="A267" s="85"/>
      <c r="B267" s="486"/>
      <c r="C267" s="486"/>
      <c r="D267" s="486"/>
      <c r="E267" s="85"/>
      <c r="F267" s="487"/>
      <c r="G267" s="487"/>
      <c r="H267" s="487"/>
      <c r="I267" s="487"/>
      <c r="J267" s="487"/>
      <c r="K267" s="487"/>
      <c r="L267" s="487"/>
      <c r="M267" s="487"/>
      <c r="N267" s="487"/>
      <c r="O267"/>
    </row>
    <row r="268" spans="1:15" ht="15.75">
      <c r="A268" s="85"/>
      <c r="B268" s="486"/>
      <c r="C268" s="486"/>
      <c r="D268" s="486"/>
      <c r="E268" s="85"/>
      <c r="F268" s="487"/>
      <c r="G268" s="487"/>
      <c r="H268" s="487"/>
      <c r="I268" s="487"/>
      <c r="J268" s="487"/>
      <c r="K268" s="487"/>
      <c r="L268" s="487"/>
      <c r="M268" s="487"/>
      <c r="N268" s="487"/>
      <c r="O268"/>
    </row>
    <row r="269" spans="1:15" ht="15.75">
      <c r="A269" s="85"/>
      <c r="B269" s="486"/>
      <c r="C269" s="486"/>
      <c r="D269" s="486"/>
      <c r="E269" s="85"/>
      <c r="F269" s="487"/>
      <c r="G269" s="487"/>
      <c r="H269" s="487"/>
      <c r="I269" s="487"/>
      <c r="J269" s="487"/>
      <c r="K269" s="487"/>
      <c r="L269" s="487"/>
      <c r="M269" s="487"/>
      <c r="N269" s="487"/>
      <c r="O269"/>
    </row>
    <row r="270" spans="1:15">
      <c r="A270" s="85"/>
      <c r="B270" s="486"/>
      <c r="C270" s="486"/>
      <c r="D270" s="486"/>
      <c r="E270" s="85"/>
      <c r="F270" s="487"/>
      <c r="G270" s="487"/>
      <c r="H270" s="487"/>
      <c r="I270" s="487"/>
      <c r="J270" s="487"/>
      <c r="K270" s="487"/>
      <c r="L270" s="487"/>
      <c r="M270" s="487"/>
      <c r="N270" s="487"/>
      <c r="O270" s="483"/>
    </row>
    <row r="271" spans="1:15" ht="15.75">
      <c r="A271" s="85"/>
      <c r="B271" s="486"/>
      <c r="C271" s="486"/>
      <c r="D271" s="486"/>
      <c r="E271" s="85"/>
      <c r="F271" s="487"/>
      <c r="G271" s="487"/>
      <c r="H271" s="487"/>
      <c r="I271" s="487"/>
      <c r="J271" s="487"/>
      <c r="K271" s="487"/>
      <c r="L271" s="487"/>
      <c r="M271" s="487"/>
      <c r="N271" s="487"/>
      <c r="O271"/>
    </row>
    <row r="272" spans="1:15" ht="15.75">
      <c r="A272" s="85"/>
      <c r="B272" s="486"/>
      <c r="C272" s="486"/>
      <c r="D272" s="486"/>
      <c r="E272" s="85"/>
      <c r="F272" s="487"/>
      <c r="G272" s="487"/>
      <c r="H272" s="487"/>
      <c r="I272" s="487"/>
      <c r="J272" s="487"/>
      <c r="K272" s="487"/>
      <c r="L272" s="487"/>
      <c r="M272" s="487"/>
      <c r="N272" s="487"/>
      <c r="O272"/>
    </row>
    <row r="273" spans="1:15" ht="15.75">
      <c r="A273" s="85"/>
      <c r="B273" s="486"/>
      <c r="C273" s="486"/>
      <c r="D273" s="486"/>
      <c r="E273" s="85"/>
      <c r="F273" s="487"/>
      <c r="G273" s="487"/>
      <c r="H273" s="487"/>
      <c r="I273" s="487"/>
      <c r="J273" s="487"/>
      <c r="K273" s="487"/>
      <c r="L273" s="487"/>
      <c r="M273" s="487"/>
      <c r="N273" s="487"/>
      <c r="O273"/>
    </row>
    <row r="274" spans="1:15" ht="15.75">
      <c r="A274" s="85"/>
      <c r="B274" s="486"/>
      <c r="C274" s="486"/>
      <c r="D274" s="486"/>
      <c r="E274" s="85"/>
      <c r="F274" s="487"/>
      <c r="G274" s="487"/>
      <c r="H274" s="487"/>
      <c r="I274" s="487"/>
      <c r="J274" s="487"/>
      <c r="K274" s="487"/>
      <c r="L274" s="487"/>
      <c r="M274" s="487"/>
      <c r="N274" s="487"/>
      <c r="O274"/>
    </row>
    <row r="275" spans="1:15" ht="15.75">
      <c r="A275" s="85"/>
      <c r="B275" s="486"/>
      <c r="C275" s="486"/>
      <c r="D275" s="486"/>
      <c r="E275" s="85"/>
      <c r="F275" s="487"/>
      <c r="G275" s="487"/>
      <c r="H275" s="487"/>
      <c r="I275" s="487"/>
      <c r="J275" s="487"/>
      <c r="K275" s="487"/>
      <c r="L275" s="487"/>
      <c r="M275" s="487"/>
      <c r="N275" s="487"/>
      <c r="O275"/>
    </row>
    <row r="276" spans="1:15" ht="15.75">
      <c r="A276" s="85"/>
      <c r="B276" s="486"/>
      <c r="C276" s="486"/>
      <c r="D276" s="486"/>
      <c r="E276" s="85"/>
      <c r="F276" s="487"/>
      <c r="G276" s="487"/>
      <c r="H276" s="487"/>
      <c r="I276" s="487"/>
      <c r="J276" s="487"/>
      <c r="K276" s="487"/>
      <c r="L276" s="487"/>
      <c r="M276" s="487"/>
      <c r="N276" s="487"/>
      <c r="O276"/>
    </row>
    <row r="277" spans="1:15" ht="15.75">
      <c r="A277" s="85"/>
      <c r="B277" s="486"/>
      <c r="C277" s="486"/>
      <c r="D277" s="486"/>
      <c r="E277" s="85"/>
      <c r="F277" s="487"/>
      <c r="G277" s="487"/>
      <c r="H277" s="487"/>
      <c r="I277" s="487"/>
      <c r="J277" s="487"/>
      <c r="K277" s="487"/>
      <c r="L277" s="487"/>
      <c r="M277" s="487"/>
      <c r="N277" s="487"/>
      <c r="O277"/>
    </row>
    <row r="278" spans="1:15" ht="15.75">
      <c r="A278" s="85"/>
      <c r="B278" s="486"/>
      <c r="C278" s="486"/>
      <c r="D278" s="486"/>
      <c r="E278" s="85"/>
      <c r="F278" s="487"/>
      <c r="G278" s="487"/>
      <c r="H278" s="487"/>
      <c r="I278" s="487"/>
      <c r="J278" s="487"/>
      <c r="K278" s="487"/>
      <c r="L278" s="487"/>
      <c r="M278" s="487"/>
      <c r="N278" s="487"/>
      <c r="O278"/>
    </row>
    <row r="279" spans="1:15" ht="15.75">
      <c r="A279" s="85"/>
      <c r="B279" s="486"/>
      <c r="C279" s="486"/>
      <c r="D279" s="486"/>
      <c r="E279" s="85"/>
      <c r="F279" s="487"/>
      <c r="G279" s="487"/>
      <c r="H279" s="487"/>
      <c r="I279" s="487"/>
      <c r="J279" s="487"/>
      <c r="K279" s="487"/>
      <c r="L279" s="487"/>
      <c r="M279" s="487"/>
      <c r="N279" s="487"/>
      <c r="O279"/>
    </row>
    <row r="280" spans="1:15" ht="15.75">
      <c r="A280" s="85"/>
      <c r="B280" s="486"/>
      <c r="C280" s="486"/>
      <c r="D280" s="486"/>
      <c r="E280" s="104"/>
      <c r="F280" s="728"/>
      <c r="G280" s="728"/>
      <c r="H280" s="728"/>
      <c r="I280" s="728"/>
      <c r="J280" s="728"/>
      <c r="K280" s="728"/>
      <c r="L280" s="728"/>
      <c r="M280" s="728"/>
      <c r="N280" s="487"/>
      <c r="O280"/>
    </row>
    <row r="281" spans="1:15" ht="15.75">
      <c r="A281" s="104"/>
      <c r="B281" s="729"/>
      <c r="C281" s="729"/>
      <c r="D281" s="729"/>
      <c r="E281" s="729"/>
      <c r="F281" s="487"/>
      <c r="G281" s="487"/>
      <c r="H281" s="487"/>
      <c r="I281" s="487"/>
      <c r="J281" s="487"/>
      <c r="K281" s="487"/>
      <c r="L281" s="487"/>
      <c r="M281" s="487"/>
      <c r="N281" s="487"/>
      <c r="O281"/>
    </row>
    <row r="282" spans="1:15" ht="15.75">
      <c r="A282" s="730"/>
      <c r="B282" s="486"/>
      <c r="C282" s="486"/>
      <c r="D282" s="486"/>
      <c r="E282" s="486"/>
      <c r="F282" s="486"/>
      <c r="G282" s="486"/>
      <c r="H282" s="486"/>
      <c r="I282"/>
      <c r="J282"/>
      <c r="K282"/>
      <c r="L282"/>
      <c r="M282"/>
      <c r="N282"/>
      <c r="O282"/>
    </row>
    <row r="283" spans="1:15" ht="15.75">
      <c r="A283" s="730"/>
      <c r="B283" s="486"/>
      <c r="C283" s="486"/>
      <c r="D283" s="486"/>
      <c r="E283" s="486"/>
      <c r="F283" s="486"/>
      <c r="G283" s="486"/>
      <c r="H283" s="486"/>
      <c r="I283"/>
      <c r="J283"/>
      <c r="K283"/>
      <c r="L283"/>
      <c r="M283"/>
      <c r="N283"/>
      <c r="O283"/>
    </row>
    <row r="284" spans="1:15" ht="15.75">
      <c r="A284" s="731"/>
      <c r="B284" s="1153"/>
      <c r="C284" s="1153"/>
      <c r="D284" s="1153"/>
      <c r="E284" s="1153"/>
      <c r="F284" s="1153"/>
      <c r="G284" s="1153"/>
      <c r="H284" s="486"/>
      <c r="I284"/>
      <c r="J284"/>
      <c r="K284"/>
      <c r="L284"/>
      <c r="M284"/>
      <c r="N284"/>
      <c r="O284"/>
    </row>
    <row r="286" spans="1:15">
      <c r="A286" s="876"/>
      <c r="B286" s="876"/>
      <c r="C286" s="876"/>
      <c r="D286" s="876"/>
      <c r="E286" s="731"/>
      <c r="F286" s="85"/>
      <c r="G286" s="85"/>
      <c r="H286" s="876"/>
      <c r="I286" s="876"/>
      <c r="J286" s="876"/>
      <c r="K286" s="876"/>
      <c r="L286" s="876"/>
      <c r="M286" s="876"/>
      <c r="N286" s="876"/>
      <c r="O286" s="876"/>
    </row>
    <row r="287" spans="1:15">
      <c r="A287" s="876"/>
      <c r="B287" s="876"/>
      <c r="C287" s="876"/>
      <c r="D287" s="876"/>
      <c r="E287" s="730"/>
      <c r="F287" s="85"/>
      <c r="G287" s="85"/>
      <c r="H287" s="876"/>
      <c r="I287" s="876"/>
      <c r="J287" s="876"/>
      <c r="K287" s="876"/>
      <c r="L287" s="876"/>
      <c r="M287" s="876"/>
      <c r="N287" s="876"/>
      <c r="O287" s="876"/>
    </row>
    <row r="288" spans="1:15">
      <c r="A288" s="876"/>
      <c r="B288" s="876"/>
      <c r="C288" s="876"/>
      <c r="D288" s="876"/>
      <c r="E288" s="731"/>
      <c r="F288" s="85"/>
      <c r="G288" s="85"/>
      <c r="H288" s="876"/>
      <c r="I288" s="876"/>
      <c r="J288" s="876"/>
      <c r="K288" s="876"/>
      <c r="L288" s="876"/>
      <c r="M288" s="876"/>
      <c r="N288" s="876"/>
      <c r="O288" s="876"/>
    </row>
    <row r="289" spans="5:7">
      <c r="E289" s="731"/>
      <c r="F289" s="85"/>
      <c r="G289" s="85"/>
    </row>
    <row r="290" spans="5:7">
      <c r="E290" s="85"/>
      <c r="F290" s="85"/>
      <c r="G290" s="85"/>
    </row>
  </sheetData>
  <sortState xmlns:xlrd2="http://schemas.microsoft.com/office/spreadsheetml/2017/richdata2" ref="K92:L109">
    <sortCondition ref="L93:L109"/>
  </sortState>
  <mergeCells count="5">
    <mergeCell ref="B284:C284"/>
    <mergeCell ref="D284:E284"/>
    <mergeCell ref="F284:G284"/>
    <mergeCell ref="C260:D260"/>
    <mergeCell ref="F259:M259"/>
  </mergeCells>
  <phoneticPr fontId="99" type="noConversion"/>
  <hyperlinks>
    <hyperlink ref="A26" r:id="rId1" xr:uid="{00000000-0004-0000-0900-000000000000}"/>
    <hyperlink ref="A47" r:id="rId2" xr:uid="{00000000-0004-0000-0900-000001000000}"/>
    <hyperlink ref="A68" r:id="rId3" xr:uid="{00000000-0004-0000-0900-000002000000}"/>
  </hyperlinks>
  <pageMargins left="0.7" right="0.7" top="0.75" bottom="0.75" header="0.3" footer="0.3"/>
  <pageSetup paperSize="9" scale="86" orientation="landscape" r:id="rId4"/>
  <rowBreaks count="7" manualBreakCount="7">
    <brk id="27" max="16383" man="1"/>
    <brk id="48" max="16383" man="1"/>
    <brk id="69" max="16383" man="1"/>
    <brk id="90" max="16383" man="1"/>
    <brk id="121" max="16383" man="1"/>
    <brk id="149" max="16383" man="1"/>
    <brk id="178" max="16383" man="1"/>
  </rowBreaks>
  <ignoredErrors>
    <ignoredError sqref="I71 E71" numberStoredAsText="1"/>
    <ignoredError sqref="F25 F67 L67 H67:K67" formulaRange="1"/>
  </ignoredErrors>
  <drawing r:id="rId5"/>
  <legacy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192"/>
  <sheetViews>
    <sheetView topLeftCell="A3" zoomScaleNormal="100" workbookViewId="0">
      <selection activeCell="J123" sqref="J123:L131"/>
    </sheetView>
  </sheetViews>
  <sheetFormatPr defaultRowHeight="15"/>
  <cols>
    <col min="1" max="1" width="15.44140625" customWidth="1"/>
    <col min="2" max="2" width="10.21875" customWidth="1"/>
    <col min="3" max="3" width="13.6640625" customWidth="1"/>
    <col min="4" max="4" width="10.44140625" bestFit="1" customWidth="1"/>
    <col min="5" max="5" width="10.21875" bestFit="1" customWidth="1"/>
    <col min="6" max="8" width="8.77734375" bestFit="1" customWidth="1"/>
    <col min="9" max="9" width="4.109375" customWidth="1"/>
    <col min="11" max="11" width="13.77734375" customWidth="1"/>
    <col min="12" max="12" width="11.44140625" bestFit="1" customWidth="1"/>
    <col min="13" max="13" width="2.21875" customWidth="1"/>
    <col min="14" max="14" width="2.6640625" customWidth="1"/>
    <col min="15" max="17" width="8.44140625" customWidth="1"/>
    <col min="18" max="18" width="3.21875" customWidth="1"/>
    <col min="19" max="19" width="8.44140625" customWidth="1"/>
    <col min="20" max="20" width="11.33203125" customWidth="1"/>
    <col min="21" max="21" width="9.77734375" customWidth="1"/>
    <col min="22" max="23" width="8.44140625" customWidth="1"/>
    <col min="24" max="24" width="7" customWidth="1"/>
    <col min="25" max="25" width="9.21875" customWidth="1"/>
    <col min="26" max="26" width="9.77734375" customWidth="1"/>
    <col min="27" max="27" width="5.33203125" customWidth="1"/>
    <col min="28" max="28" width="3.88671875" customWidth="1"/>
    <col min="29" max="29" width="12.5546875" customWidth="1"/>
    <col min="30" max="30" width="7.88671875" customWidth="1"/>
    <col min="31" max="31" width="13.109375" customWidth="1"/>
    <col min="32" max="32" width="2" customWidth="1"/>
    <col min="33" max="33" width="9.109375" customWidth="1"/>
    <col min="34" max="34" width="8" customWidth="1"/>
    <col min="35" max="35" width="8.44140625" customWidth="1"/>
    <col min="36" max="36" width="2.21875" customWidth="1"/>
    <col min="37" max="37" width="9.109375" customWidth="1"/>
    <col min="38" max="38" width="4.44140625" customWidth="1"/>
    <col min="39" max="39" width="15.5546875" customWidth="1"/>
    <col min="40" max="40" width="9.5546875" customWidth="1"/>
    <col min="41" max="41" width="10.77734375" bestFit="1" customWidth="1"/>
    <col min="42" max="42" width="2.21875" customWidth="1"/>
    <col min="43" max="43" width="20.6640625" customWidth="1"/>
    <col min="44" max="44" width="11.21875" customWidth="1"/>
    <col min="45" max="45" width="4.44140625" customWidth="1"/>
    <col min="46" max="46" width="15.5546875" customWidth="1"/>
    <col min="51" max="51" width="10.44140625" customWidth="1"/>
  </cols>
  <sheetData>
    <row r="1" spans="1:46" ht="15.75">
      <c r="A1" s="11" t="s">
        <v>358</v>
      </c>
      <c r="O1" s="11" t="s">
        <v>359</v>
      </c>
      <c r="AC1" s="11" t="s">
        <v>360</v>
      </c>
      <c r="AT1" s="11" t="s">
        <v>361</v>
      </c>
    </row>
    <row r="2" spans="1:46" ht="15.75">
      <c r="A2" s="876" t="s">
        <v>362</v>
      </c>
      <c r="AC2" s="876" t="s">
        <v>363</v>
      </c>
      <c r="AT2" s="876" t="s">
        <v>364</v>
      </c>
    </row>
    <row r="3" spans="1:46" ht="27" customHeight="1">
      <c r="A3" s="780" t="s">
        <v>365</v>
      </c>
      <c r="B3" s="781"/>
      <c r="C3" s="781"/>
      <c r="D3" s="414"/>
      <c r="E3" s="414"/>
      <c r="F3" s="414"/>
      <c r="G3" s="414"/>
      <c r="O3" s="85"/>
      <c r="P3" s="85"/>
      <c r="Q3" s="85"/>
      <c r="R3" s="85"/>
      <c r="S3" s="85"/>
      <c r="T3" s="85"/>
      <c r="U3" s="85"/>
      <c r="V3" s="85"/>
      <c r="W3" s="85"/>
      <c r="AC3" s="876"/>
      <c r="AT3" s="876"/>
    </row>
    <row r="4" spans="1:46" hidden="1">
      <c r="A4" s="53" t="s">
        <v>366</v>
      </c>
      <c r="B4" s="214"/>
      <c r="C4" s="214"/>
      <c r="D4" s="214"/>
      <c r="E4" s="214"/>
      <c r="F4" s="214"/>
      <c r="G4" s="214"/>
      <c r="H4" s="214"/>
      <c r="I4" s="214"/>
      <c r="J4" s="214"/>
      <c r="K4" s="214"/>
      <c r="L4" s="214"/>
      <c r="M4" s="214"/>
      <c r="N4" s="214"/>
      <c r="X4" s="214"/>
      <c r="Y4" s="214"/>
      <c r="Z4" s="214"/>
      <c r="AA4" s="214"/>
      <c r="AB4" s="214"/>
      <c r="AC4" s="53" t="s">
        <v>367</v>
      </c>
      <c r="AD4" s="214"/>
      <c r="AE4" s="214"/>
      <c r="AF4" s="214"/>
      <c r="AG4" s="214"/>
      <c r="AH4" s="214"/>
      <c r="AI4" s="214"/>
      <c r="AJ4" s="214"/>
      <c r="AK4" s="214"/>
      <c r="AT4" s="53" t="s">
        <v>367</v>
      </c>
    </row>
    <row r="5" spans="1:46" hidden="1">
      <c r="A5" s="214"/>
      <c r="B5" s="214"/>
      <c r="C5" s="214"/>
      <c r="D5" s="214"/>
      <c r="E5" s="235"/>
      <c r="F5" s="214"/>
      <c r="G5" s="214"/>
      <c r="H5" s="214"/>
      <c r="I5" s="214"/>
      <c r="J5" s="214"/>
      <c r="K5" s="214"/>
      <c r="L5" s="214"/>
      <c r="M5" s="214"/>
      <c r="N5" s="214"/>
      <c r="X5" s="214"/>
      <c r="Y5" s="214"/>
      <c r="Z5" s="214"/>
      <c r="AA5" s="214"/>
      <c r="AB5" s="214"/>
      <c r="AC5" s="214"/>
      <c r="AD5" s="214"/>
      <c r="AE5" s="214"/>
      <c r="AF5" s="214"/>
      <c r="AG5" s="214"/>
      <c r="AH5" s="214"/>
      <c r="AI5" s="214"/>
      <c r="AJ5" s="214"/>
      <c r="AK5" s="214"/>
    </row>
    <row r="6" spans="1:46" ht="15.75" hidden="1">
      <c r="A6" s="139" t="s">
        <v>368</v>
      </c>
      <c r="B6" s="139"/>
      <c r="C6" s="139" t="s">
        <v>369</v>
      </c>
      <c r="D6" s="139" t="s">
        <v>370</v>
      </c>
      <c r="E6" s="139" t="s">
        <v>371</v>
      </c>
      <c r="F6" s="139" t="s">
        <v>372</v>
      </c>
      <c r="G6" s="139" t="s">
        <v>373</v>
      </c>
      <c r="H6" s="139" t="s">
        <v>374</v>
      </c>
      <c r="I6" s="214"/>
      <c r="J6" s="125" t="s">
        <v>375</v>
      </c>
      <c r="K6" s="124"/>
      <c r="L6" s="124"/>
      <c r="M6" s="214"/>
      <c r="N6" s="214"/>
      <c r="X6" s="214"/>
      <c r="Y6" s="214"/>
      <c r="Z6" s="214"/>
      <c r="AA6" s="214"/>
      <c r="AB6" s="214"/>
      <c r="AC6" s="139" t="s">
        <v>376</v>
      </c>
      <c r="AD6" s="139"/>
      <c r="AE6" s="139" t="s">
        <v>377</v>
      </c>
      <c r="AF6" s="139"/>
      <c r="AG6" s="139" t="s">
        <v>378</v>
      </c>
      <c r="AH6" s="139" t="s">
        <v>379</v>
      </c>
      <c r="AI6" s="139" t="s">
        <v>380</v>
      </c>
      <c r="AJ6" s="920"/>
      <c r="AK6" s="228" t="s">
        <v>381</v>
      </c>
    </row>
    <row r="7" spans="1:46" s="5" customFormat="1" hidden="1">
      <c r="A7" s="282">
        <v>2015</v>
      </c>
      <c r="B7" s="282"/>
      <c r="C7" s="282"/>
      <c r="D7" s="282"/>
      <c r="E7" s="282"/>
      <c r="F7" s="282"/>
      <c r="G7" s="282"/>
      <c r="H7" s="282"/>
      <c r="I7" s="139"/>
      <c r="J7" s="124"/>
      <c r="K7" s="124"/>
      <c r="L7" s="124"/>
      <c r="M7" s="139"/>
      <c r="N7" s="139"/>
      <c r="O7" s="282">
        <v>2015</v>
      </c>
      <c r="P7" s="282"/>
      <c r="Q7" s="282"/>
      <c r="R7" s="85"/>
      <c r="S7" s="125" t="s">
        <v>375</v>
      </c>
      <c r="T7" s="124"/>
      <c r="U7" s="124"/>
      <c r="V7" s="124"/>
      <c r="W7" s="124"/>
      <c r="X7" s="139"/>
      <c r="Y7" s="139"/>
      <c r="Z7" s="139"/>
      <c r="AA7" s="139"/>
      <c r="AB7" s="139"/>
      <c r="AC7" s="290">
        <v>2015</v>
      </c>
      <c r="AD7" s="920"/>
      <c r="AE7" s="920"/>
      <c r="AF7" s="920"/>
      <c r="AG7" s="920"/>
      <c r="AH7" s="920"/>
      <c r="AI7" s="920"/>
      <c r="AJ7" s="920"/>
      <c r="AK7" s="920"/>
      <c r="AL7" s="876"/>
      <c r="AM7" s="876"/>
      <c r="AN7" s="876"/>
      <c r="AO7" s="876"/>
      <c r="AP7" s="876"/>
      <c r="AQ7" s="876"/>
      <c r="AR7" s="876"/>
      <c r="AS7" s="876"/>
      <c r="AT7" s="876"/>
    </row>
    <row r="8" spans="1:46" s="5" customFormat="1" hidden="1">
      <c r="A8" s="278" t="s">
        <v>28</v>
      </c>
      <c r="B8" s="279"/>
      <c r="C8" s="284">
        <f>C9*E8</f>
        <v>26246.25</v>
      </c>
      <c r="D8" s="284">
        <f>D9*E8</f>
        <v>16331.000000000002</v>
      </c>
      <c r="E8" s="284">
        <v>11665</v>
      </c>
      <c r="F8" s="284">
        <f>F9*E8</f>
        <v>4665.9999999999991</v>
      </c>
      <c r="G8" s="284">
        <f>G9*E8</f>
        <v>2332.9999999999995</v>
      </c>
      <c r="H8" s="284">
        <f>H9*E8</f>
        <v>1458.125</v>
      </c>
      <c r="I8" s="85"/>
      <c r="J8" s="125" t="s">
        <v>382</v>
      </c>
      <c r="K8" s="236"/>
      <c r="L8" s="126">
        <f>38394000-Basbelopp!T10</f>
        <v>37422153</v>
      </c>
      <c r="M8" s="85"/>
      <c r="N8" s="85"/>
      <c r="O8" s="278" t="s">
        <v>28</v>
      </c>
      <c r="P8" s="279"/>
      <c r="Q8" s="280">
        <f>T12</f>
        <v>38821</v>
      </c>
      <c r="R8" s="139"/>
      <c r="S8" s="124" t="s">
        <v>383</v>
      </c>
      <c r="T8" s="124"/>
      <c r="U8" s="124"/>
      <c r="V8" s="124"/>
      <c r="W8" s="124"/>
      <c r="X8" s="85"/>
      <c r="Y8" s="85"/>
      <c r="Z8" s="85"/>
      <c r="AA8" s="85"/>
      <c r="AB8" s="85"/>
      <c r="AC8" s="278" t="s">
        <v>28</v>
      </c>
      <c r="AD8" s="279"/>
      <c r="AE8" s="280">
        <v>10849.67</v>
      </c>
      <c r="AF8" s="280"/>
      <c r="AG8" s="280">
        <v>1311</v>
      </c>
      <c r="AH8" s="280">
        <v>5813</v>
      </c>
      <c r="AI8" s="280">
        <v>21095</v>
      </c>
      <c r="AJ8" s="281"/>
      <c r="AK8" s="280">
        <v>1026.3</v>
      </c>
      <c r="AL8" s="876"/>
      <c r="AM8" s="876"/>
      <c r="AN8" s="876"/>
      <c r="AO8" s="876"/>
      <c r="AP8" s="876"/>
      <c r="AQ8" s="876"/>
      <c r="AR8" s="876"/>
      <c r="AS8" s="876"/>
      <c r="AT8" s="876"/>
    </row>
    <row r="9" spans="1:46" s="5" customFormat="1" hidden="1">
      <c r="A9" s="104" t="s">
        <v>384</v>
      </c>
      <c r="B9" s="85"/>
      <c r="C9" s="237">
        <v>2.25</v>
      </c>
      <c r="D9" s="237">
        <v>1.4000000000000001</v>
      </c>
      <c r="E9" s="237">
        <v>1</v>
      </c>
      <c r="F9" s="237">
        <v>0.39999999999999991</v>
      </c>
      <c r="G9" s="237">
        <v>0.19999999999999996</v>
      </c>
      <c r="H9" s="237">
        <v>0.125</v>
      </c>
      <c r="I9" s="85"/>
      <c r="J9" s="125" t="s">
        <v>385</v>
      </c>
      <c r="K9" s="238"/>
      <c r="L9" s="126">
        <v>3208</v>
      </c>
      <c r="M9" s="85"/>
      <c r="N9" s="85"/>
      <c r="O9" s="85"/>
      <c r="P9" s="85"/>
      <c r="Q9" s="85"/>
      <c r="R9" s="139"/>
      <c r="S9" s="124"/>
      <c r="T9" s="124"/>
      <c r="U9" s="124"/>
      <c r="V9" s="124"/>
      <c r="W9" s="124"/>
      <c r="X9" s="85"/>
      <c r="Y9" s="85"/>
      <c r="Z9" s="85"/>
      <c r="AA9" s="85"/>
      <c r="AB9" s="85"/>
      <c r="AC9" s="53" t="s">
        <v>386</v>
      </c>
      <c r="AD9" s="214"/>
      <c r="AE9" s="227"/>
      <c r="AF9" s="227"/>
      <c r="AG9" s="227"/>
      <c r="AH9" s="227"/>
      <c r="AI9" s="227"/>
      <c r="AJ9" s="920"/>
      <c r="AK9" s="227"/>
      <c r="AL9" s="876"/>
      <c r="AM9" s="876"/>
      <c r="AN9" s="876"/>
      <c r="AO9" s="876"/>
      <c r="AP9" s="876"/>
      <c r="AQ9" s="876"/>
      <c r="AR9" s="876"/>
      <c r="AS9" s="876"/>
      <c r="AT9" s="876"/>
    </row>
    <row r="10" spans="1:46" ht="15.75" hidden="1">
      <c r="A10" s="214"/>
      <c r="B10" s="214"/>
      <c r="C10" s="214"/>
      <c r="D10" s="214"/>
      <c r="E10" s="214"/>
      <c r="F10" s="214"/>
      <c r="G10" s="214"/>
      <c r="H10" s="214"/>
      <c r="I10" s="214"/>
      <c r="J10" s="125" t="s">
        <v>387</v>
      </c>
      <c r="K10" s="238"/>
      <c r="L10" s="126">
        <f>ROUND(L8/L9,0)</f>
        <v>11665</v>
      </c>
      <c r="M10" s="22"/>
      <c r="N10" s="22"/>
      <c r="R10" s="85"/>
      <c r="S10" s="125" t="s">
        <v>388</v>
      </c>
      <c r="T10" s="126">
        <v>971847</v>
      </c>
      <c r="U10" s="126"/>
      <c r="V10" s="126"/>
      <c r="W10" s="126"/>
      <c r="X10" s="22"/>
      <c r="Y10" s="22"/>
      <c r="Z10" s="22"/>
      <c r="AA10" s="22"/>
      <c r="AB10" s="22"/>
      <c r="AC10" s="214"/>
      <c r="AD10" s="214"/>
      <c r="AE10" s="227"/>
      <c r="AF10" s="227"/>
      <c r="AG10" s="227"/>
      <c r="AH10" s="227"/>
      <c r="AI10" s="227"/>
      <c r="AJ10" s="920"/>
      <c r="AK10" s="227"/>
    </row>
    <row r="11" spans="1:46" ht="15.75" hidden="1">
      <c r="A11" s="282">
        <v>2017</v>
      </c>
      <c r="B11" s="282"/>
      <c r="C11" s="282"/>
      <c r="D11" s="282"/>
      <c r="E11" s="282"/>
      <c r="F11" s="282"/>
      <c r="G11" s="282"/>
      <c r="H11" s="282"/>
      <c r="I11" s="214"/>
      <c r="J11" s="214"/>
      <c r="K11" s="214"/>
      <c r="L11" s="85"/>
      <c r="M11" s="23"/>
      <c r="N11" s="23"/>
      <c r="O11" s="282">
        <v>2017</v>
      </c>
      <c r="P11" s="282"/>
      <c r="Q11" s="282"/>
      <c r="R11" s="85"/>
      <c r="S11" s="125" t="s">
        <v>389</v>
      </c>
      <c r="T11" s="179">
        <f>7/12*18+5/12*21</f>
        <v>19.25</v>
      </c>
      <c r="U11" s="179"/>
      <c r="V11" s="179"/>
      <c r="W11" s="179"/>
      <c r="X11" s="23"/>
      <c r="Y11" s="23"/>
      <c r="Z11" s="23"/>
      <c r="AA11" s="23"/>
      <c r="AB11" s="23"/>
      <c r="AC11" s="290">
        <v>2017</v>
      </c>
      <c r="AD11" s="920"/>
      <c r="AE11" s="920"/>
      <c r="AF11" s="920"/>
      <c r="AG11" s="920"/>
      <c r="AH11" s="920"/>
      <c r="AI11" s="920"/>
      <c r="AJ11" s="920"/>
      <c r="AK11" s="920"/>
    </row>
    <row r="12" spans="1:46" ht="15.75" hidden="1">
      <c r="A12" s="177" t="s">
        <v>390</v>
      </c>
      <c r="B12" s="178">
        <f>151.2/150.1</f>
        <v>1.0073284477015323</v>
      </c>
      <c r="C12" s="139"/>
      <c r="D12" s="139"/>
      <c r="E12" s="139"/>
      <c r="F12" s="139"/>
      <c r="G12" s="139"/>
      <c r="H12" s="139"/>
      <c r="I12" s="214"/>
      <c r="J12" s="53" t="s">
        <v>391</v>
      </c>
      <c r="K12" s="85"/>
      <c r="L12" s="85"/>
      <c r="M12" s="23"/>
      <c r="N12" s="23"/>
      <c r="O12" s="177" t="s">
        <v>390</v>
      </c>
      <c r="P12" s="178">
        <f>Basbelopp!B12</f>
        <v>1.0073284477015323</v>
      </c>
      <c r="Q12" s="139"/>
      <c r="R12" s="85"/>
      <c r="S12" s="125" t="s">
        <v>392</v>
      </c>
      <c r="T12" s="126">
        <f>ROUND(T10/T11-Basbelopp!L10,0)</f>
        <v>38821</v>
      </c>
      <c r="U12" s="126"/>
      <c r="V12" s="126"/>
      <c r="W12" s="126"/>
      <c r="X12" s="23"/>
      <c r="Y12" s="23"/>
      <c r="Z12" s="23"/>
      <c r="AA12" s="23"/>
      <c r="AB12" s="23"/>
      <c r="AC12" s="177" t="s">
        <v>390</v>
      </c>
      <c r="AD12" s="178">
        <f>Basbelopp!B12</f>
        <v>1.0073284477015323</v>
      </c>
      <c r="AE12" s="229"/>
      <c r="AF12" s="229"/>
      <c r="AG12" s="229"/>
      <c r="AH12" s="229"/>
      <c r="AI12" s="229"/>
      <c r="AJ12" s="920"/>
      <c r="AK12" s="229"/>
    </row>
    <row r="13" spans="1:46" hidden="1">
      <c r="A13" s="278" t="s">
        <v>28</v>
      </c>
      <c r="B13" s="284"/>
      <c r="C13" s="284">
        <f t="shared" ref="C13:H13" si="0">$B$12*C8</f>
        <v>26438.594270486341</v>
      </c>
      <c r="D13" s="284">
        <f t="shared" si="0"/>
        <v>16450.680879413725</v>
      </c>
      <c r="E13" s="284">
        <f t="shared" si="0"/>
        <v>11750.486342438375</v>
      </c>
      <c r="F13" s="284">
        <f t="shared" si="0"/>
        <v>4700.1945369753485</v>
      </c>
      <c r="G13" s="284">
        <f t="shared" si="0"/>
        <v>2350.0972684876742</v>
      </c>
      <c r="H13" s="284">
        <f t="shared" si="0"/>
        <v>1468.8107928047968</v>
      </c>
      <c r="I13" s="214"/>
      <c r="J13" s="214"/>
      <c r="K13" s="214"/>
      <c r="L13" s="214"/>
      <c r="M13" s="23"/>
      <c r="N13" s="23"/>
      <c r="O13" s="278" t="s">
        <v>28</v>
      </c>
      <c r="P13" s="283"/>
      <c r="Q13" s="395">
        <f>P12*Q8</f>
        <v>39105.497668221185</v>
      </c>
      <c r="R13" s="85"/>
      <c r="S13" s="85"/>
      <c r="T13" s="85"/>
      <c r="U13" s="85"/>
      <c r="V13" s="85"/>
      <c r="W13" s="85"/>
      <c r="X13" s="23"/>
      <c r="Y13" s="23"/>
      <c r="Z13" s="23"/>
      <c r="AA13" s="23"/>
      <c r="AB13" s="23"/>
      <c r="AC13" s="278" t="s">
        <v>28</v>
      </c>
      <c r="AD13" s="279"/>
      <c r="AE13" s="280">
        <f>AE8*$AD$12</f>
        <v>10929.181239173884</v>
      </c>
      <c r="AF13" s="280"/>
      <c r="AG13" s="280">
        <f>AG8*$AD$12</f>
        <v>1320.6075949367089</v>
      </c>
      <c r="AH13" s="280">
        <f>AH8*$AD$12</f>
        <v>5855.6002664890075</v>
      </c>
      <c r="AI13" s="280">
        <f>AI8*$AD$12</f>
        <v>21249.593604263824</v>
      </c>
      <c r="AJ13" s="281"/>
      <c r="AK13" s="280">
        <f>AK8*$AD$12</f>
        <v>1033.8211858760826</v>
      </c>
    </row>
    <row r="14" spans="1:46" ht="15.75" hidden="1">
      <c r="A14" s="214"/>
      <c r="B14" s="214"/>
      <c r="C14" s="214"/>
      <c r="D14" s="214"/>
      <c r="E14" s="214"/>
      <c r="F14" s="214"/>
      <c r="G14" s="214"/>
      <c r="H14" s="214"/>
      <c r="I14" s="214"/>
      <c r="J14" s="214"/>
      <c r="K14" s="214"/>
      <c r="L14" s="214"/>
      <c r="M14" s="23"/>
      <c r="N14" s="23"/>
      <c r="O14" s="85"/>
      <c r="P14" s="180"/>
      <c r="Q14" s="85"/>
      <c r="R14" s="85"/>
      <c r="S14" s="85"/>
      <c r="T14" s="85"/>
      <c r="U14" s="85"/>
      <c r="V14" s="85"/>
      <c r="W14" s="85"/>
      <c r="X14" s="23"/>
      <c r="Y14" s="23"/>
      <c r="Z14" s="23"/>
      <c r="AA14" s="23"/>
      <c r="AB14" s="23"/>
      <c r="AC14" s="214"/>
      <c r="AD14" s="230"/>
      <c r="AE14" s="227"/>
      <c r="AF14" s="227"/>
      <c r="AG14" s="227"/>
      <c r="AH14" s="227"/>
      <c r="AI14" s="227"/>
      <c r="AJ14" s="920"/>
      <c r="AK14" s="227"/>
    </row>
    <row r="15" spans="1:46" ht="15.75" hidden="1">
      <c r="A15" s="282">
        <v>2018</v>
      </c>
      <c r="B15" s="282"/>
      <c r="C15" s="282"/>
      <c r="D15" s="282"/>
      <c r="E15" s="282"/>
      <c r="F15" s="282"/>
      <c r="G15" s="282"/>
      <c r="H15" s="282"/>
      <c r="I15" s="214"/>
      <c r="J15" s="214"/>
      <c r="K15" s="214"/>
      <c r="L15" s="214"/>
      <c r="M15" s="23"/>
      <c r="N15" s="23"/>
      <c r="O15" s="282">
        <v>2018</v>
      </c>
      <c r="P15" s="282"/>
      <c r="Q15" s="282"/>
      <c r="R15" s="85"/>
      <c r="S15" s="85"/>
      <c r="T15" s="85"/>
      <c r="U15" s="85"/>
      <c r="V15" s="85"/>
      <c r="W15" s="85"/>
      <c r="X15" s="23"/>
      <c r="Y15" s="23"/>
      <c r="Z15" s="23"/>
      <c r="AA15" s="23"/>
      <c r="AB15" s="23"/>
      <c r="AC15" s="290">
        <v>2018</v>
      </c>
      <c r="AD15" s="920"/>
      <c r="AE15" s="920"/>
      <c r="AF15" s="920"/>
      <c r="AG15" s="920"/>
      <c r="AH15" s="920"/>
      <c r="AI15" s="920"/>
      <c r="AJ15" s="920"/>
      <c r="AK15" s="920"/>
    </row>
    <row r="16" spans="1:46" ht="15.75" hidden="1">
      <c r="A16" s="177" t="s">
        <v>393</v>
      </c>
      <c r="B16" s="178">
        <v>1.0006613756613758</v>
      </c>
      <c r="C16" s="139"/>
      <c r="D16" s="139"/>
      <c r="E16" s="139"/>
      <c r="F16" s="139"/>
      <c r="G16" s="139"/>
      <c r="H16" s="139"/>
      <c r="I16" s="214"/>
      <c r="J16" s="214"/>
      <c r="K16" s="214"/>
      <c r="L16" s="230"/>
      <c r="M16" s="23"/>
      <c r="N16" s="23"/>
      <c r="O16" s="177" t="s">
        <v>393</v>
      </c>
      <c r="P16" s="178">
        <v>1.0006613756613758</v>
      </c>
      <c r="Q16" s="139"/>
      <c r="R16" s="85"/>
      <c r="S16" s="85"/>
      <c r="T16" s="85"/>
      <c r="U16" s="85"/>
      <c r="V16" s="85"/>
      <c r="W16" s="85"/>
      <c r="X16" s="23"/>
      <c r="Y16" s="23"/>
      <c r="Z16" s="23"/>
      <c r="AA16" s="23"/>
      <c r="AB16" s="23"/>
      <c r="AC16" s="177" t="s">
        <v>393</v>
      </c>
      <c r="AD16" s="178">
        <v>1.0006613756613758</v>
      </c>
      <c r="AE16" s="229"/>
      <c r="AF16" s="229"/>
      <c r="AG16" s="229"/>
      <c r="AH16" s="229"/>
      <c r="AI16" s="229"/>
      <c r="AJ16" s="920"/>
      <c r="AK16" s="229"/>
    </row>
    <row r="17" spans="1:44" ht="15.75" hidden="1">
      <c r="A17" s="278" t="s">
        <v>28</v>
      </c>
      <c r="B17" s="284"/>
      <c r="C17" s="284">
        <v>26456.080000000002</v>
      </c>
      <c r="D17" s="284">
        <v>16461.560000000001</v>
      </c>
      <c r="E17" s="284">
        <v>11758.26</v>
      </c>
      <c r="F17" s="284">
        <v>4703.3</v>
      </c>
      <c r="G17" s="284">
        <v>2351.65</v>
      </c>
      <c r="H17" s="284">
        <v>1469.78</v>
      </c>
      <c r="I17" s="214"/>
      <c r="J17" s="214"/>
      <c r="K17" s="214"/>
      <c r="L17" s="214"/>
      <c r="M17" s="23"/>
      <c r="N17" s="23"/>
      <c r="O17" s="278" t="s">
        <v>28</v>
      </c>
      <c r="P17" s="279"/>
      <c r="Q17" s="280">
        <v>39131.360000000001</v>
      </c>
      <c r="R17" s="85"/>
      <c r="S17" s="85"/>
      <c r="T17" s="85"/>
      <c r="U17" s="85"/>
      <c r="V17" s="85"/>
      <c r="W17" s="85"/>
      <c r="X17" s="23"/>
      <c r="Y17" s="23"/>
      <c r="Z17" s="23"/>
      <c r="AA17" s="23"/>
      <c r="AB17" s="23"/>
      <c r="AC17" s="278" t="s">
        <v>28</v>
      </c>
      <c r="AD17" s="279"/>
      <c r="AE17" s="280">
        <f>ROUND(AE13*$AD$16,2)</f>
        <v>10936.41</v>
      </c>
      <c r="AF17" s="280"/>
      <c r="AG17" s="280">
        <f>ROUND(AG13*$AD$16,2)</f>
        <v>1321.48</v>
      </c>
      <c r="AH17" s="280">
        <f>ROUND(AH13*$AD$16,2)</f>
        <v>5859.47</v>
      </c>
      <c r="AI17" s="280">
        <f>ROUND(AI13*$AD$16,2)</f>
        <v>21263.65</v>
      </c>
      <c r="AJ17" s="920"/>
      <c r="AK17" s="280">
        <f>ROUND(AK13*$AD$16,2)</f>
        <v>1034.5</v>
      </c>
    </row>
    <row r="18" spans="1:44" ht="15.75" hidden="1">
      <c r="A18" s="164"/>
      <c r="B18" s="316"/>
      <c r="C18" s="316"/>
      <c r="D18" s="316"/>
      <c r="E18" s="316"/>
      <c r="F18" s="316"/>
      <c r="G18" s="316"/>
      <c r="H18" s="316"/>
      <c r="I18" s="214"/>
      <c r="J18" s="214"/>
      <c r="K18" s="214"/>
      <c r="L18" s="214"/>
      <c r="M18" s="23"/>
      <c r="N18" s="23"/>
      <c r="O18" s="85"/>
      <c r="P18" s="180"/>
      <c r="Q18" s="85"/>
      <c r="R18" s="85"/>
      <c r="S18" s="85"/>
      <c r="X18" s="23"/>
      <c r="Y18" s="23"/>
      <c r="Z18" s="23"/>
      <c r="AA18" s="23"/>
      <c r="AB18" s="23"/>
      <c r="AC18" s="214"/>
      <c r="AD18" s="230"/>
      <c r="AE18" s="227"/>
      <c r="AF18" s="227"/>
      <c r="AG18" s="227"/>
      <c r="AH18" s="227"/>
      <c r="AI18" s="227"/>
      <c r="AJ18" s="920"/>
      <c r="AK18" s="227"/>
    </row>
    <row r="19" spans="1:44" ht="15.75" hidden="1">
      <c r="A19" s="282">
        <v>2019</v>
      </c>
      <c r="B19" s="282"/>
      <c r="C19" s="282"/>
      <c r="D19" s="282"/>
      <c r="E19" s="282"/>
      <c r="F19" s="282"/>
      <c r="G19" s="282"/>
      <c r="H19" s="282"/>
      <c r="I19" s="214"/>
      <c r="J19" s="214"/>
      <c r="K19" s="214"/>
      <c r="L19" s="214"/>
      <c r="M19" s="23"/>
      <c r="N19" s="23"/>
      <c r="O19" s="282">
        <v>2019</v>
      </c>
      <c r="P19" s="282"/>
      <c r="Q19" s="282"/>
      <c r="R19" s="85"/>
      <c r="S19" s="85"/>
      <c r="X19" s="23"/>
      <c r="Y19" s="23"/>
      <c r="Z19" s="23"/>
      <c r="AA19" s="23"/>
      <c r="AB19" s="23"/>
      <c r="AC19" s="290">
        <v>2019</v>
      </c>
      <c r="AD19" s="920"/>
      <c r="AE19" s="920"/>
      <c r="AF19" s="920"/>
      <c r="AG19" s="920"/>
      <c r="AH19" s="920"/>
      <c r="AI19" s="920"/>
      <c r="AJ19" s="920"/>
      <c r="AK19" s="920"/>
    </row>
    <row r="20" spans="1:44" ht="15.75" hidden="1">
      <c r="A20" s="177" t="s">
        <v>394</v>
      </c>
      <c r="B20" s="178">
        <v>0.98545935228023795</v>
      </c>
      <c r="C20" s="139"/>
      <c r="D20" s="263" t="s">
        <v>395</v>
      </c>
      <c r="E20" s="177">
        <v>151.30000000000001</v>
      </c>
      <c r="F20" s="263" t="s">
        <v>396</v>
      </c>
      <c r="G20" s="177">
        <v>149.1</v>
      </c>
      <c r="H20" s="139"/>
      <c r="I20" s="214"/>
      <c r="J20" s="214" t="s">
        <v>397</v>
      </c>
      <c r="K20" s="214"/>
      <c r="L20" s="214"/>
      <c r="M20" s="23"/>
      <c r="N20" s="23"/>
      <c r="O20" s="178" t="str">
        <f>Basbelopp!A24</f>
        <v>Indexförändring 2019</v>
      </c>
      <c r="P20" s="178">
        <f>B20</f>
        <v>0.98545935228023795</v>
      </c>
      <c r="Q20" s="139"/>
      <c r="R20" s="85"/>
      <c r="S20" s="85"/>
      <c r="X20" s="23"/>
      <c r="Y20" s="23"/>
      <c r="Z20" s="23"/>
      <c r="AA20" s="23"/>
      <c r="AB20" s="23"/>
      <c r="AC20" s="178" t="s">
        <v>394</v>
      </c>
      <c r="AD20" s="178">
        <v>0.98545935228023784</v>
      </c>
      <c r="AE20" s="229"/>
      <c r="AF20" s="229"/>
      <c r="AG20" s="229"/>
      <c r="AH20" s="229"/>
      <c r="AI20" s="229"/>
      <c r="AJ20" s="920"/>
      <c r="AK20" s="229"/>
    </row>
    <row r="21" spans="1:44" ht="15.75" hidden="1">
      <c r="A21" s="278" t="s">
        <v>28</v>
      </c>
      <c r="B21" s="284"/>
      <c r="C21" s="284">
        <v>26071.39</v>
      </c>
      <c r="D21" s="284">
        <v>16222.2</v>
      </c>
      <c r="E21" s="284">
        <v>11587.29</v>
      </c>
      <c r="F21" s="284">
        <v>4634.91</v>
      </c>
      <c r="G21" s="284">
        <v>2317.46</v>
      </c>
      <c r="H21" s="284">
        <v>1448.41</v>
      </c>
      <c r="I21" s="214"/>
      <c r="J21" s="214"/>
      <c r="K21" s="214"/>
      <c r="L21" s="214"/>
      <c r="M21" s="23"/>
      <c r="N21" s="23"/>
      <c r="O21" s="278" t="s">
        <v>28</v>
      </c>
      <c r="P21" s="279"/>
      <c r="Q21" s="280">
        <f>ROUND(P20*Q17,2)</f>
        <v>38562.36</v>
      </c>
      <c r="X21" s="23"/>
      <c r="Y21" s="23"/>
      <c r="Z21" s="23"/>
      <c r="AA21" s="23"/>
      <c r="AB21" s="23"/>
      <c r="AC21" s="278" t="s">
        <v>28</v>
      </c>
      <c r="AD21" s="279"/>
      <c r="AE21" s="280">
        <f>ROUND($AD$20*AE17,2)</f>
        <v>10777.39</v>
      </c>
      <c r="AF21" s="280"/>
      <c r="AG21" s="280">
        <f>ROUND($AD$20*AG17,2)</f>
        <v>1302.26</v>
      </c>
      <c r="AH21" s="280">
        <f>ROUND($AD$20*AH17,2)</f>
        <v>5774.27</v>
      </c>
      <c r="AI21" s="280">
        <f>ROUND($AD$20*AI17,2)</f>
        <v>20954.46</v>
      </c>
      <c r="AJ21" s="920"/>
      <c r="AK21" s="280">
        <f>ROUND($AD$20*AK17,2)</f>
        <v>1019.46</v>
      </c>
    </row>
    <row r="22" spans="1:44" ht="15.75" hidden="1">
      <c r="A22" s="214"/>
      <c r="B22" s="214"/>
      <c r="C22" s="214"/>
      <c r="D22" s="214"/>
      <c r="E22" s="214"/>
      <c r="F22" s="214"/>
      <c r="G22" s="214"/>
      <c r="H22" s="214"/>
      <c r="I22" s="214"/>
      <c r="J22" s="214"/>
      <c r="K22" s="214"/>
      <c r="L22" s="214"/>
      <c r="M22" s="23"/>
      <c r="N22" s="23"/>
      <c r="X22" s="23"/>
      <c r="Y22" s="23"/>
      <c r="Z22" s="23"/>
      <c r="AA22" s="23"/>
      <c r="AB22" s="23"/>
      <c r="AC22" s="214"/>
      <c r="AD22" s="230"/>
      <c r="AE22" s="227"/>
      <c r="AF22" s="227"/>
      <c r="AG22" s="227"/>
      <c r="AH22" s="227"/>
      <c r="AI22" s="227"/>
      <c r="AJ22" s="920"/>
      <c r="AK22" s="227"/>
    </row>
    <row r="23" spans="1:44" ht="16.5" hidden="1" thickBot="1">
      <c r="A23" s="282">
        <v>2020</v>
      </c>
      <c r="B23" s="282"/>
      <c r="C23" s="282"/>
      <c r="D23" s="282"/>
      <c r="E23" s="282"/>
      <c r="F23" s="282"/>
      <c r="G23" s="282"/>
      <c r="H23" s="282"/>
      <c r="I23" s="214"/>
      <c r="L23" s="214"/>
      <c r="M23" s="23"/>
      <c r="N23" s="23"/>
      <c r="O23" s="282">
        <v>2020</v>
      </c>
      <c r="P23" s="282"/>
      <c r="Q23" s="282"/>
      <c r="X23" s="23"/>
      <c r="Y23" s="23"/>
      <c r="Z23" s="23"/>
      <c r="AA23" s="23"/>
      <c r="AB23" s="23"/>
      <c r="AC23" s="290">
        <v>2020</v>
      </c>
      <c r="AD23" s="920"/>
      <c r="AE23" s="920"/>
      <c r="AF23" s="920"/>
      <c r="AG23" s="920"/>
      <c r="AH23" s="920"/>
      <c r="AI23" s="920"/>
      <c r="AJ23" s="920"/>
      <c r="AK23" s="920"/>
    </row>
    <row r="24" spans="1:44" ht="17.25" hidden="1" thickTop="1" thickBot="1">
      <c r="A24" s="261" t="s">
        <v>398</v>
      </c>
      <c r="B24" s="262">
        <f>G24/E24</f>
        <v>1.0090543259557343</v>
      </c>
      <c r="C24" s="139"/>
      <c r="D24" s="263" t="s">
        <v>396</v>
      </c>
      <c r="E24" s="177">
        <v>99.4</v>
      </c>
      <c r="F24" s="263" t="s">
        <v>399</v>
      </c>
      <c r="G24" s="177">
        <v>100.3</v>
      </c>
      <c r="H24" s="139"/>
      <c r="I24" s="214"/>
      <c r="J24" s="214"/>
      <c r="K24" s="214"/>
      <c r="L24" s="214"/>
      <c r="M24" s="23"/>
      <c r="N24" s="23"/>
      <c r="O24" s="178" t="str">
        <f>A24</f>
        <v>Indexförändring 2019</v>
      </c>
      <c r="P24" s="178">
        <f>B24</f>
        <v>1.0090543259557343</v>
      </c>
      <c r="Q24" s="139"/>
      <c r="X24" s="23"/>
      <c r="Y24" s="23"/>
      <c r="Z24" s="23"/>
      <c r="AA24" s="23"/>
      <c r="AB24" s="23"/>
      <c r="AC24" s="178" t="str">
        <f>Basbelopp!A24</f>
        <v>Indexförändring 2019</v>
      </c>
      <c r="AD24" s="178">
        <f>Basbelopp!B24</f>
        <v>1.0090543259557343</v>
      </c>
      <c r="AE24" s="229"/>
      <c r="AF24" s="229"/>
      <c r="AG24" s="229"/>
      <c r="AH24" s="229"/>
      <c r="AI24" s="229"/>
      <c r="AJ24" s="920"/>
      <c r="AK24" s="229"/>
    </row>
    <row r="25" spans="1:44" ht="16.5" hidden="1" thickTop="1">
      <c r="A25" s="278" t="s">
        <v>28</v>
      </c>
      <c r="B25" s="284"/>
      <c r="C25" s="284">
        <f>ROUND($B$24*C21,2)</f>
        <v>26307.45</v>
      </c>
      <c r="D25" s="284">
        <f>ROUND($B$24*D21,2)</f>
        <v>16369.08</v>
      </c>
      <c r="E25" s="284">
        <f t="shared" ref="E25:H25" si="1">ROUND($B$24*E21,2)</f>
        <v>11692.21</v>
      </c>
      <c r="F25" s="284">
        <f t="shared" si="1"/>
        <v>4676.88</v>
      </c>
      <c r="G25" s="284">
        <f t="shared" si="1"/>
        <v>2338.44</v>
      </c>
      <c r="H25" s="284">
        <f t="shared" si="1"/>
        <v>1461.52</v>
      </c>
      <c r="I25" s="214"/>
      <c r="J25" s="214" t="s">
        <v>400</v>
      </c>
      <c r="K25" s="214"/>
      <c r="L25" s="214"/>
      <c r="M25" s="23"/>
      <c r="N25" s="23"/>
      <c r="O25" s="278" t="s">
        <v>28</v>
      </c>
      <c r="P25" s="279"/>
      <c r="Q25" s="280">
        <f>ROUND(P24*Q21,2)</f>
        <v>38911.519999999997</v>
      </c>
      <c r="X25" s="23"/>
      <c r="Y25" s="23"/>
      <c r="Z25" s="23"/>
      <c r="AA25" s="23"/>
      <c r="AB25" s="23"/>
      <c r="AC25" s="278" t="s">
        <v>28</v>
      </c>
      <c r="AD25" s="279"/>
      <c r="AE25" s="280">
        <f>ROUND($AD$24*AE21,2)</f>
        <v>10874.97</v>
      </c>
      <c r="AF25" s="280"/>
      <c r="AG25" s="280">
        <f>ROUND($AD$24*AG21,2)</f>
        <v>1314.05</v>
      </c>
      <c r="AH25" s="280">
        <f>ROUND($AD$24*AH21,2)</f>
        <v>5826.55</v>
      </c>
      <c r="AI25" s="280">
        <f>ROUND($AD$24*AI21,2)</f>
        <v>21144.19</v>
      </c>
      <c r="AJ25" s="920"/>
      <c r="AK25" s="280">
        <f>ROUND($AD$24*AK21,2)</f>
        <v>1028.69</v>
      </c>
    </row>
    <row r="26" spans="1:44" ht="16.5" hidden="1" thickBot="1">
      <c r="A26" s="214"/>
      <c r="B26" s="214"/>
      <c r="C26" s="214"/>
      <c r="D26" s="214"/>
      <c r="E26" s="214"/>
      <c r="F26" s="214"/>
      <c r="G26" s="214"/>
      <c r="H26" s="214"/>
      <c r="I26" s="214"/>
      <c r="J26" s="214"/>
      <c r="K26" s="214"/>
      <c r="L26" s="214"/>
      <c r="M26" s="23"/>
      <c r="N26" s="23"/>
      <c r="X26" s="23"/>
      <c r="Y26" s="23"/>
      <c r="Z26" s="23"/>
      <c r="AA26" s="23"/>
      <c r="AB26" s="23"/>
      <c r="AN26" s="1157" t="s">
        <v>401</v>
      </c>
      <c r="AO26" s="1157"/>
      <c r="AP26" s="1157"/>
      <c r="AQ26" s="1157"/>
      <c r="AR26" s="1157"/>
    </row>
    <row r="27" spans="1:44" s="467" customFormat="1" ht="16.5" hidden="1" thickBot="1">
      <c r="A27" s="469"/>
      <c r="B27" s="470"/>
      <c r="C27" s="470"/>
      <c r="D27" s="471"/>
      <c r="E27" s="470"/>
      <c r="F27" s="470"/>
      <c r="G27" s="470"/>
      <c r="H27" s="470"/>
      <c r="I27" s="470"/>
      <c r="M27" s="472"/>
      <c r="N27" s="472"/>
      <c r="X27" s="472"/>
      <c r="Y27" s="472"/>
      <c r="Z27" s="472"/>
      <c r="AA27" s="472"/>
      <c r="AB27" s="472"/>
      <c r="AN27" s="1160" t="s">
        <v>401</v>
      </c>
      <c r="AO27" s="1160"/>
      <c r="AP27" s="1160"/>
      <c r="AQ27" s="1160"/>
      <c r="AR27" s="1160"/>
    </row>
    <row r="28" spans="1:44" hidden="1">
      <c r="A28" s="214"/>
      <c r="B28" s="214"/>
      <c r="C28" s="214"/>
      <c r="D28" s="214"/>
      <c r="E28" s="214"/>
      <c r="F28" s="214"/>
      <c r="G28" s="214"/>
      <c r="H28" s="214"/>
      <c r="I28" s="214"/>
      <c r="M28" s="23"/>
      <c r="N28" s="23"/>
      <c r="X28" s="23"/>
      <c r="Y28" s="23"/>
      <c r="Z28" s="23"/>
      <c r="AA28" s="23"/>
      <c r="AB28" s="23"/>
    </row>
    <row r="29" spans="1:44" hidden="1">
      <c r="A29" s="325" t="s">
        <v>402</v>
      </c>
      <c r="C29" s="20">
        <v>44086</v>
      </c>
      <c r="D29" s="20" t="s">
        <v>403</v>
      </c>
      <c r="E29" s="214"/>
      <c r="F29" s="214"/>
      <c r="G29" s="214"/>
      <c r="H29" s="214"/>
      <c r="I29" s="214"/>
      <c r="M29" s="23"/>
      <c r="N29" s="23"/>
      <c r="X29" s="23"/>
      <c r="Y29" s="23"/>
      <c r="Z29" s="23"/>
      <c r="AA29" s="23"/>
      <c r="AB29" s="23"/>
    </row>
    <row r="30" spans="1:44" hidden="1">
      <c r="A30" s="214"/>
      <c r="B30" s="214"/>
      <c r="C30" s="214"/>
      <c r="D30" s="214"/>
      <c r="E30" s="214"/>
      <c r="F30" s="214"/>
      <c r="G30" s="214"/>
      <c r="H30" s="214"/>
      <c r="I30" s="214"/>
      <c r="M30" s="23"/>
      <c r="N30" s="23"/>
      <c r="X30" s="23"/>
      <c r="Y30" s="23"/>
      <c r="Z30" s="23"/>
      <c r="AA30" s="23"/>
      <c r="AB30" s="23"/>
    </row>
    <row r="31" spans="1:44" ht="15.75" hidden="1">
      <c r="A31" s="415" t="s">
        <v>404</v>
      </c>
      <c r="B31" s="416"/>
      <c r="C31" s="416"/>
      <c r="D31" s="416"/>
      <c r="E31" s="416"/>
      <c r="F31" s="416"/>
      <c r="G31" s="416"/>
      <c r="H31" s="416"/>
      <c r="I31" s="214"/>
      <c r="M31" s="23"/>
      <c r="N31" s="23"/>
      <c r="X31" s="23"/>
      <c r="Y31" s="23"/>
      <c r="Z31" s="23"/>
      <c r="AA31" s="23"/>
      <c r="AB31" s="23"/>
    </row>
    <row r="32" spans="1:44" ht="15.75" hidden="1">
      <c r="A32" s="343" t="s">
        <v>405</v>
      </c>
      <c r="B32" s="343"/>
      <c r="C32" s="343"/>
      <c r="D32" s="343"/>
      <c r="E32" s="342"/>
      <c r="F32" s="342"/>
      <c r="G32" s="342"/>
      <c r="H32" s="342"/>
      <c r="I32" s="214"/>
      <c r="J32" s="125" t="s">
        <v>406</v>
      </c>
      <c r="K32" s="124"/>
      <c r="L32" s="124"/>
      <c r="M32" s="23"/>
      <c r="N32" s="23"/>
      <c r="O32" s="343" t="s">
        <v>407</v>
      </c>
      <c r="P32" s="344"/>
      <c r="Q32" s="344"/>
      <c r="S32" s="125" t="s">
        <v>406</v>
      </c>
      <c r="T32" s="124"/>
      <c r="U32" s="85"/>
      <c r="V32" s="343" t="s">
        <v>408</v>
      </c>
      <c r="W32" s="344"/>
      <c r="X32" s="344"/>
      <c r="Y32" s="344"/>
      <c r="Z32" s="23"/>
      <c r="AA32" s="23"/>
      <c r="AB32" s="23"/>
      <c r="AC32" s="343" t="s">
        <v>409</v>
      </c>
      <c r="AD32" s="343"/>
      <c r="AE32" s="343"/>
      <c r="AF32" s="343"/>
      <c r="AG32" s="343"/>
      <c r="AH32" s="342"/>
      <c r="AI32" s="342"/>
      <c r="AJ32" s="344"/>
      <c r="AK32" s="344"/>
      <c r="AL32" s="344"/>
      <c r="AM32" s="344"/>
      <c r="AN32" s="344"/>
      <c r="AO32" s="344"/>
    </row>
    <row r="33" spans="1:44" ht="25.5" hidden="1" customHeight="1">
      <c r="A33" s="214"/>
      <c r="B33" s="214"/>
      <c r="C33" s="214"/>
      <c r="D33" s="214"/>
      <c r="E33" s="214"/>
      <c r="F33" s="214"/>
      <c r="G33" s="214"/>
      <c r="H33" s="214"/>
      <c r="I33" s="214"/>
      <c r="J33" s="125" t="s">
        <v>410</v>
      </c>
      <c r="K33" s="124"/>
      <c r="L33" s="126">
        <v>38818000</v>
      </c>
      <c r="M33" s="23"/>
      <c r="N33" s="23"/>
      <c r="S33" s="124"/>
      <c r="T33" s="124"/>
      <c r="U33" s="85"/>
      <c r="Z33" s="23"/>
      <c r="AA33" s="23"/>
      <c r="AB33" s="23"/>
      <c r="AE33" s="351" t="s">
        <v>411</v>
      </c>
      <c r="AF33" s="349"/>
      <c r="AG33" s="347" t="s">
        <v>412</v>
      </c>
      <c r="AH33" s="347"/>
      <c r="AI33" s="347"/>
      <c r="AJ33" s="350"/>
      <c r="AK33" s="348" t="s">
        <v>413</v>
      </c>
    </row>
    <row r="34" spans="1:44" ht="15.75" hidden="1">
      <c r="A34" s="139" t="s">
        <v>368</v>
      </c>
      <c r="B34" s="139"/>
      <c r="C34" s="139" t="s">
        <v>369</v>
      </c>
      <c r="D34" s="139" t="s">
        <v>370</v>
      </c>
      <c r="E34" s="139" t="s">
        <v>371</v>
      </c>
      <c r="F34" s="139" t="s">
        <v>372</v>
      </c>
      <c r="G34" s="139" t="s">
        <v>373</v>
      </c>
      <c r="H34" s="139" t="s">
        <v>374</v>
      </c>
      <c r="I34" s="214"/>
      <c r="J34" s="125" t="s">
        <v>414</v>
      </c>
      <c r="K34" s="236"/>
      <c r="L34" s="126">
        <f>38818000-T34</f>
        <v>37689784.200000003</v>
      </c>
      <c r="M34" s="23"/>
      <c r="N34" s="23"/>
      <c r="S34" s="125" t="s">
        <v>415</v>
      </c>
      <c r="T34" s="126">
        <v>1128215.8</v>
      </c>
      <c r="U34" s="93"/>
      <c r="V34" s="125" t="s">
        <v>416</v>
      </c>
      <c r="W34" s="124"/>
      <c r="Z34" s="23"/>
      <c r="AA34" s="23"/>
      <c r="AB34" s="23"/>
      <c r="AC34" s="139" t="s">
        <v>376</v>
      </c>
      <c r="AD34" s="139"/>
      <c r="AE34" s="139" t="s">
        <v>377</v>
      </c>
      <c r="AF34" s="920"/>
      <c r="AG34" s="139" t="s">
        <v>378</v>
      </c>
      <c r="AH34" s="139" t="s">
        <v>379</v>
      </c>
      <c r="AI34" s="139" t="s">
        <v>380</v>
      </c>
      <c r="AJ34" s="920"/>
      <c r="AK34" s="228" t="s">
        <v>417</v>
      </c>
    </row>
    <row r="35" spans="1:44" ht="15.75" hidden="1">
      <c r="A35" s="282">
        <v>2018</v>
      </c>
      <c r="B35" s="282"/>
      <c r="C35" s="282"/>
      <c r="D35" s="282"/>
      <c r="E35" s="282"/>
      <c r="F35" s="282"/>
      <c r="G35" s="282"/>
      <c r="H35" s="282"/>
      <c r="J35" s="125" t="s">
        <v>418</v>
      </c>
      <c r="K35" s="238"/>
      <c r="L35" s="126">
        <v>3274</v>
      </c>
      <c r="M35" s="23"/>
      <c r="N35" s="23"/>
      <c r="O35" s="282">
        <v>2018</v>
      </c>
      <c r="P35" s="282"/>
      <c r="Q35" s="282"/>
      <c r="S35" s="125" t="s">
        <v>419</v>
      </c>
      <c r="T35" s="126">
        <v>26</v>
      </c>
      <c r="U35" s="93"/>
      <c r="V35" s="124"/>
      <c r="W35" s="124"/>
      <c r="X35" s="104"/>
      <c r="Z35" s="23"/>
      <c r="AA35" s="23"/>
      <c r="AB35" s="23"/>
      <c r="AC35" s="290">
        <v>2018</v>
      </c>
      <c r="AD35" s="920"/>
      <c r="AE35" s="920"/>
      <c r="AF35" s="920"/>
      <c r="AG35" s="920"/>
      <c r="AH35" s="920"/>
      <c r="AI35" s="920"/>
      <c r="AJ35" s="920"/>
      <c r="AK35" s="920"/>
      <c r="AM35" s="352" t="s">
        <v>420</v>
      </c>
      <c r="AN35" s="238"/>
      <c r="AO35" s="126"/>
    </row>
    <row r="36" spans="1:44" ht="15.75" hidden="1">
      <c r="A36" s="278" t="s">
        <v>28</v>
      </c>
      <c r="B36" s="279"/>
      <c r="C36" s="284">
        <f>$E$36*C37</f>
        <v>25902</v>
      </c>
      <c r="D36" s="284">
        <f>$E$36*D37</f>
        <v>16116.800000000001</v>
      </c>
      <c r="E36" s="284">
        <f>L36</f>
        <v>11512</v>
      </c>
      <c r="F36" s="284">
        <f>$E$36*F37</f>
        <v>4604.7999999999993</v>
      </c>
      <c r="G36" s="284">
        <f>$E$36*G37</f>
        <v>2302.3999999999996</v>
      </c>
      <c r="H36" s="284">
        <f>$E$36*H37</f>
        <v>1439</v>
      </c>
      <c r="J36" s="125" t="s">
        <v>421</v>
      </c>
      <c r="K36" s="238"/>
      <c r="L36" s="132">
        <f>ROUND((L34)/L35,0)</f>
        <v>11512</v>
      </c>
      <c r="M36" s="23"/>
      <c r="N36" s="23"/>
      <c r="O36" s="178"/>
      <c r="P36" s="178"/>
      <c r="Q36" s="139"/>
      <c r="S36" s="125" t="s">
        <v>422</v>
      </c>
      <c r="T36" s="126">
        <f>ROUND(T34/T35-L36,0)</f>
        <v>31881</v>
      </c>
      <c r="U36" s="93"/>
      <c r="V36" s="125" t="s">
        <v>423</v>
      </c>
      <c r="W36" s="126">
        <v>193976.01</v>
      </c>
      <c r="X36" s="139"/>
      <c r="Z36" s="23"/>
      <c r="AA36" s="23"/>
      <c r="AB36" s="23"/>
      <c r="AC36" s="177"/>
      <c r="AD36" s="178"/>
      <c r="AE36" s="229"/>
      <c r="AF36" s="920"/>
      <c r="AG36" s="229"/>
      <c r="AH36" s="229"/>
      <c r="AI36" s="229"/>
      <c r="AJ36" s="920"/>
      <c r="AK36" s="229"/>
      <c r="AM36" s="125" t="s">
        <v>424</v>
      </c>
      <c r="AN36" s="238"/>
      <c r="AO36" s="126">
        <v>25179000</v>
      </c>
    </row>
    <row r="37" spans="1:44" ht="15.75" hidden="1">
      <c r="A37" s="104" t="s">
        <v>384</v>
      </c>
      <c r="B37" s="85"/>
      <c r="C37" s="237">
        <v>2.25</v>
      </c>
      <c r="D37" s="237">
        <v>1.4000000000000001</v>
      </c>
      <c r="E37" s="237">
        <v>1</v>
      </c>
      <c r="F37" s="237">
        <v>0.39999999999999991</v>
      </c>
      <c r="G37" s="237">
        <v>0.19999999999999996</v>
      </c>
      <c r="H37" s="237">
        <v>0.125</v>
      </c>
      <c r="M37" s="23"/>
      <c r="N37" s="23"/>
      <c r="O37" s="278" t="s">
        <v>28</v>
      </c>
      <c r="P37" s="279"/>
      <c r="Q37" s="280">
        <f>T36</f>
        <v>31881</v>
      </c>
      <c r="S37" s="104"/>
      <c r="T37" s="93"/>
      <c r="U37" s="93"/>
      <c r="V37" s="125" t="s">
        <v>425</v>
      </c>
      <c r="W37" s="358">
        <v>18</v>
      </c>
      <c r="X37" s="142"/>
      <c r="Z37" s="23"/>
      <c r="AA37" s="23"/>
      <c r="AB37" s="23"/>
      <c r="AC37" s="278" t="s">
        <v>28</v>
      </c>
      <c r="AD37" s="279"/>
      <c r="AE37" s="280">
        <f>ROUND(11424.2286751361,2)</f>
        <v>11424.23</v>
      </c>
      <c r="AF37" s="920"/>
      <c r="AG37" s="280">
        <f>ROUND(1248.68616490682,2)</f>
        <v>1248.69</v>
      </c>
      <c r="AH37" s="280">
        <f>ROUND(5500.49617081802,2)</f>
        <v>5500.5</v>
      </c>
      <c r="AI37" s="280">
        <f>ROUND(19455.8070229914,2)</f>
        <v>19455.810000000001</v>
      </c>
      <c r="AJ37" s="920"/>
      <c r="AK37" s="396">
        <f>ROUND(806.334565431178,2)</f>
        <v>806.33</v>
      </c>
      <c r="AM37" s="125" t="s">
        <v>426</v>
      </c>
      <c r="AN37" s="238"/>
      <c r="AO37" s="126">
        <v>30560000</v>
      </c>
    </row>
    <row r="38" spans="1:44" s="55" customFormat="1" ht="24.75" hidden="1" customHeight="1">
      <c r="D38" s="57"/>
      <c r="F38" s="54"/>
      <c r="G38" s="54"/>
      <c r="J38" s="1161" t="s">
        <v>427</v>
      </c>
      <c r="K38" s="1161"/>
      <c r="M38" s="56"/>
      <c r="N38" s="56"/>
      <c r="O38"/>
      <c r="P38"/>
      <c r="Q38"/>
      <c r="R38"/>
      <c r="S38"/>
      <c r="T38"/>
      <c r="U38"/>
      <c r="V38" s="125" t="s">
        <v>428</v>
      </c>
      <c r="W38" s="126">
        <f>W36/W37</f>
        <v>10776.445</v>
      </c>
      <c r="X38"/>
      <c r="Y38"/>
      <c r="Z38" s="56"/>
      <c r="AA38" s="56"/>
      <c r="AB38" s="56"/>
      <c r="AC38" s="214"/>
      <c r="AE38" s="227"/>
      <c r="AF38" s="920"/>
      <c r="AG38" s="227"/>
      <c r="AH38" s="227"/>
      <c r="AI38" s="227"/>
      <c r="AJ38" s="920"/>
      <c r="AK38" s="227"/>
      <c r="AM38" s="125" t="s">
        <v>413</v>
      </c>
      <c r="AN38" s="238"/>
      <c r="AO38" s="126">
        <v>23778000</v>
      </c>
    </row>
    <row r="39" spans="1:44" ht="15.75" hidden="1">
      <c r="A39" s="282">
        <v>2019</v>
      </c>
      <c r="B39" s="282"/>
      <c r="C39" s="282"/>
      <c r="D39" s="282"/>
      <c r="E39" s="282"/>
      <c r="F39" s="282"/>
      <c r="G39" s="282"/>
      <c r="H39" s="282"/>
      <c r="L39" s="2"/>
      <c r="O39" s="282">
        <v>2019</v>
      </c>
      <c r="P39" s="282"/>
      <c r="Q39" s="282"/>
      <c r="T39" s="353"/>
      <c r="V39" s="125" t="s">
        <v>429</v>
      </c>
      <c r="W39" s="124">
        <v>660000</v>
      </c>
      <c r="X39" s="104"/>
      <c r="AC39" s="290">
        <v>2019</v>
      </c>
      <c r="AD39" s="920"/>
      <c r="AE39" s="920"/>
      <c r="AF39" s="920"/>
      <c r="AG39" s="920"/>
      <c r="AH39" s="920"/>
      <c r="AI39" s="920"/>
      <c r="AJ39" s="920"/>
      <c r="AK39" s="920"/>
      <c r="AM39" s="125"/>
      <c r="AN39" s="238"/>
      <c r="AO39" s="126"/>
    </row>
    <row r="40" spans="1:44" ht="15.75" hidden="1">
      <c r="A40" s="177">
        <v>2018</v>
      </c>
      <c r="B40" s="178">
        <v>0.98545935228023795</v>
      </c>
      <c r="C40" s="139"/>
      <c r="D40" s="263" t="s">
        <v>395</v>
      </c>
      <c r="E40" s="177">
        <v>151.30000000000001</v>
      </c>
      <c r="F40" s="263" t="s">
        <v>396</v>
      </c>
      <c r="G40" s="177">
        <v>149.1</v>
      </c>
      <c r="H40" s="139"/>
      <c r="J40" s="214" t="s">
        <v>397</v>
      </c>
      <c r="O40" s="178" t="s">
        <v>430</v>
      </c>
      <c r="P40" s="178">
        <f>B40</f>
        <v>0.98545935228023795</v>
      </c>
      <c r="Q40" s="139"/>
      <c r="V40" s="125" t="s">
        <v>431</v>
      </c>
      <c r="W40" s="124">
        <v>60</v>
      </c>
      <c r="X40" s="139"/>
      <c r="AC40" s="178" t="s">
        <v>432</v>
      </c>
      <c r="AD40" s="230">
        <f>P40</f>
        <v>0.98545935228023795</v>
      </c>
      <c r="AE40" s="229"/>
      <c r="AF40" s="920"/>
      <c r="AG40" s="229"/>
      <c r="AH40" s="229"/>
      <c r="AI40" s="229"/>
      <c r="AJ40" s="920"/>
      <c r="AK40" s="229"/>
      <c r="AM40" s="125"/>
      <c r="AN40" s="238"/>
      <c r="AO40" s="132"/>
    </row>
    <row r="41" spans="1:44" ht="15.75" hidden="1">
      <c r="A41" s="278" t="s">
        <v>28</v>
      </c>
      <c r="B41" s="284"/>
      <c r="C41" s="284">
        <f>C36*$B$40</f>
        <v>25525.368142762723</v>
      </c>
      <c r="D41" s="284">
        <f t="shared" ref="D41:H41" si="2">D36*$B$40</f>
        <v>15882.45128883014</v>
      </c>
      <c r="E41" s="284">
        <f t="shared" si="2"/>
        <v>11344.6080634501</v>
      </c>
      <c r="F41" s="284">
        <f t="shared" si="2"/>
        <v>4537.8432253800393</v>
      </c>
      <c r="G41" s="284">
        <f t="shared" si="2"/>
        <v>2268.9216126900196</v>
      </c>
      <c r="H41" s="284">
        <f t="shared" si="2"/>
        <v>1418.0760079312624</v>
      </c>
      <c r="O41" s="278" t="s">
        <v>28</v>
      </c>
      <c r="P41" s="279"/>
      <c r="Q41" s="395">
        <f>ROUND(P40*Q37,5)</f>
        <v>31417.429609999999</v>
      </c>
      <c r="V41" s="125" t="s">
        <v>428</v>
      </c>
      <c r="W41" s="126">
        <f>W39/W40</f>
        <v>11000</v>
      </c>
      <c r="X41" s="142"/>
      <c r="AC41" s="278" t="s">
        <v>28</v>
      </c>
      <c r="AD41" s="279"/>
      <c r="AE41" s="280">
        <f>ROUND($AD$40*AE37,2)</f>
        <v>11258.11</v>
      </c>
      <c r="AF41" s="920"/>
      <c r="AG41" s="280">
        <f>ROUND($AD$40*AG37,2)</f>
        <v>1230.53</v>
      </c>
      <c r="AH41" s="280">
        <f>ROUND($AD$40*AH37,2)</f>
        <v>5420.52</v>
      </c>
      <c r="AI41" s="280">
        <f>ROUND($AD$40*AI37,2)</f>
        <v>19172.91</v>
      </c>
      <c r="AJ41" s="920"/>
      <c r="AK41" s="280">
        <f>ROUND($AD$40*AK37,2)</f>
        <v>794.61</v>
      </c>
      <c r="AM41" s="125" t="s">
        <v>433</v>
      </c>
      <c r="AN41" s="238"/>
      <c r="AO41" s="126">
        <v>2204</v>
      </c>
      <c r="AR41" s="375">
        <f>AO36/AO41</f>
        <v>11424.228675136115</v>
      </c>
    </row>
    <row r="42" spans="1:44" ht="15.75" hidden="1">
      <c r="E42" s="876"/>
      <c r="V42" s="125" t="s">
        <v>434</v>
      </c>
      <c r="W42" s="126">
        <v>50000</v>
      </c>
      <c r="AC42" s="214"/>
      <c r="AD42" s="230"/>
      <c r="AE42" s="227"/>
      <c r="AF42" s="920"/>
      <c r="AG42" s="227"/>
      <c r="AH42" s="227"/>
      <c r="AI42" s="227"/>
      <c r="AJ42" s="920"/>
      <c r="AK42" s="227"/>
      <c r="AM42" s="125" t="s">
        <v>435</v>
      </c>
      <c r="AN42" s="238"/>
      <c r="AO42" s="126">
        <v>29489</v>
      </c>
      <c r="AR42" s="375">
        <f>AO38/AO42</f>
        <v>806.33456543117768</v>
      </c>
    </row>
    <row r="43" spans="1:44" ht="16.5" hidden="1" thickBot="1">
      <c r="A43" s="282">
        <v>2020</v>
      </c>
      <c r="B43" s="282"/>
      <c r="C43" s="282"/>
      <c r="D43" s="282"/>
      <c r="E43" s="282"/>
      <c r="F43" s="282"/>
      <c r="G43" s="282"/>
      <c r="H43" s="282"/>
      <c r="O43" s="282">
        <v>2020</v>
      </c>
      <c r="P43" s="282"/>
      <c r="Q43" s="282"/>
      <c r="V43" s="125" t="s">
        <v>431</v>
      </c>
      <c r="W43" s="126">
        <v>7</v>
      </c>
      <c r="X43" s="104"/>
      <c r="AC43" s="290">
        <v>2020</v>
      </c>
      <c r="AD43" s="920"/>
      <c r="AE43" s="920"/>
      <c r="AF43" s="920"/>
      <c r="AG43" s="920"/>
      <c r="AH43" s="920"/>
      <c r="AI43" s="920"/>
      <c r="AJ43" s="920"/>
      <c r="AK43" s="920"/>
      <c r="AM43" s="125" t="s">
        <v>436</v>
      </c>
      <c r="AN43" s="238"/>
      <c r="AO43" s="126">
        <v>6401</v>
      </c>
      <c r="AQ43" s="371" t="s">
        <v>437</v>
      </c>
      <c r="AR43" s="372">
        <f>AO37/AO43</f>
        <v>4774.2540228089365</v>
      </c>
    </row>
    <row r="44" spans="1:44" ht="17.25" hidden="1" thickTop="1" thickBot="1">
      <c r="A44" s="261" t="s">
        <v>398</v>
      </c>
      <c r="B44" s="262">
        <v>1.0090543259557343</v>
      </c>
      <c r="C44" s="139"/>
      <c r="D44" s="263" t="s">
        <v>396</v>
      </c>
      <c r="E44" s="177">
        <v>99.4</v>
      </c>
      <c r="F44" s="263" t="s">
        <v>399</v>
      </c>
      <c r="G44" s="177">
        <v>100.3</v>
      </c>
      <c r="H44" s="139"/>
      <c r="J44" s="214" t="s">
        <v>400</v>
      </c>
      <c r="O44" s="178" t="str">
        <f>A44</f>
        <v>Indexförändring 2019</v>
      </c>
      <c r="P44" s="178">
        <f>B44</f>
        <v>1.0090543259557343</v>
      </c>
      <c r="Q44" s="139"/>
      <c r="V44" s="125" t="s">
        <v>428</v>
      </c>
      <c r="W44" s="126">
        <f>W42/W43</f>
        <v>7142.8571428571431</v>
      </c>
      <c r="X44" s="139"/>
      <c r="AC44" s="178" t="s">
        <v>432</v>
      </c>
      <c r="AD44" s="178">
        <v>1.0090543259557343</v>
      </c>
      <c r="AE44" s="229"/>
      <c r="AF44" s="920"/>
      <c r="AG44" s="229"/>
      <c r="AH44" s="229"/>
      <c r="AI44" s="229"/>
      <c r="AJ44" s="920"/>
      <c r="AK44" s="229"/>
      <c r="AM44" s="125"/>
      <c r="AN44" s="238"/>
      <c r="AO44" s="132"/>
      <c r="AR44" s="397">
        <f>ROUND(AO38/AO42,2)</f>
        <v>806.33</v>
      </c>
    </row>
    <row r="45" spans="1:44" ht="16.5" hidden="1" thickTop="1">
      <c r="A45" s="278" t="s">
        <v>28</v>
      </c>
      <c r="B45" s="284"/>
      <c r="C45" s="284">
        <f>C41*$B$44</f>
        <v>25756.483146067414</v>
      </c>
      <c r="D45" s="284">
        <f t="shared" ref="D45:H45" si="3">D41*$B$44</f>
        <v>16026.256179775281</v>
      </c>
      <c r="E45" s="284">
        <f t="shared" si="3"/>
        <v>11447.325842696628</v>
      </c>
      <c r="F45" s="284">
        <f t="shared" si="3"/>
        <v>4578.9303370786511</v>
      </c>
      <c r="G45" s="284">
        <f t="shared" si="3"/>
        <v>2289.4651685393255</v>
      </c>
      <c r="H45" s="284">
        <f t="shared" si="3"/>
        <v>1430.9157303370785</v>
      </c>
      <c r="O45" s="278" t="s">
        <v>28</v>
      </c>
      <c r="P45" s="279"/>
      <c r="Q45" s="280">
        <f>ROUND(P44*Q41,2)</f>
        <v>31701.89</v>
      </c>
      <c r="X45" s="142"/>
      <c r="AC45" s="278" t="s">
        <v>28</v>
      </c>
      <c r="AD45" s="279"/>
      <c r="AE45" s="280">
        <f>ROUND($AD$44*AE41,2)</f>
        <v>11360.04</v>
      </c>
      <c r="AF45" s="920"/>
      <c r="AG45" s="280">
        <f>ROUND($AD$44*AG41,2)</f>
        <v>1241.67</v>
      </c>
      <c r="AH45" s="280">
        <f t="shared" ref="AH45:AK45" si="4">ROUND($AD$44*AH41,2)</f>
        <v>5469.6</v>
      </c>
      <c r="AI45" s="280">
        <f t="shared" si="4"/>
        <v>19346.509999999998</v>
      </c>
      <c r="AJ45" s="920"/>
      <c r="AK45" s="280">
        <f t="shared" si="4"/>
        <v>801.8</v>
      </c>
    </row>
    <row r="46" spans="1:44" ht="15.75" hidden="1">
      <c r="V46" s="104"/>
      <c r="W46" s="93"/>
      <c r="AF46" s="920"/>
      <c r="AJ46" s="920"/>
    </row>
    <row r="47" spans="1:44" ht="16.5" hidden="1" thickBot="1">
      <c r="A47" s="282">
        <v>2021</v>
      </c>
      <c r="B47" s="282"/>
      <c r="C47" s="282"/>
      <c r="D47" s="282"/>
      <c r="E47" s="282"/>
      <c r="F47" s="282"/>
      <c r="G47" s="282"/>
      <c r="H47" s="282"/>
      <c r="J47" s="125" t="s">
        <v>438</v>
      </c>
      <c r="K47" s="238"/>
      <c r="L47" s="126"/>
      <c r="O47" s="282">
        <v>2021</v>
      </c>
      <c r="P47" s="282"/>
      <c r="Q47" s="282"/>
      <c r="V47" s="282">
        <v>2021</v>
      </c>
      <c r="W47" s="282"/>
      <c r="X47" s="282"/>
      <c r="AC47" s="290">
        <v>2021</v>
      </c>
      <c r="AD47" s="920"/>
      <c r="AE47" s="920"/>
      <c r="AF47" s="920"/>
      <c r="AG47" s="920"/>
      <c r="AH47" s="920"/>
      <c r="AI47" s="920"/>
      <c r="AJ47" s="920"/>
      <c r="AK47" s="920"/>
      <c r="AM47" s="352" t="s">
        <v>438</v>
      </c>
      <c r="AN47" s="238"/>
      <c r="AO47" s="126"/>
    </row>
    <row r="48" spans="1:44" ht="17.25" hidden="1" thickTop="1" thickBot="1">
      <c r="A48" s="346" t="s">
        <v>439</v>
      </c>
      <c r="B48" s="398">
        <f>(G48/E48)</f>
        <v>1.0179461615154537</v>
      </c>
      <c r="C48" s="139"/>
      <c r="D48" s="263" t="s">
        <v>399</v>
      </c>
      <c r="E48" s="345">
        <v>100.3</v>
      </c>
      <c r="F48" s="263" t="s">
        <v>440</v>
      </c>
      <c r="G48" s="400">
        <v>102.1</v>
      </c>
      <c r="H48" s="139"/>
      <c r="J48" s="125" t="s">
        <v>441</v>
      </c>
      <c r="K48" s="238"/>
      <c r="L48" s="126">
        <v>30000</v>
      </c>
      <c r="O48" s="178" t="str">
        <f>A48</f>
        <v>Indexförändring 2020</v>
      </c>
      <c r="P48" s="399">
        <f>B48</f>
        <v>1.0179461615154537</v>
      </c>
      <c r="Q48" s="139"/>
      <c r="V48" s="278" t="s">
        <v>442</v>
      </c>
      <c r="W48" s="279"/>
      <c r="X48" s="280">
        <f>ROUND(W38*B40*B44*B48,2)</f>
        <v>10908.21</v>
      </c>
      <c r="Y48" s="142" t="s">
        <v>443</v>
      </c>
      <c r="AC48" s="178" t="s">
        <v>432</v>
      </c>
      <c r="AD48" s="399">
        <f>B48</f>
        <v>1.0179461615154537</v>
      </c>
      <c r="AE48" s="229"/>
      <c r="AF48" s="920"/>
      <c r="AG48" s="229"/>
      <c r="AH48" s="229"/>
      <c r="AI48" s="229"/>
      <c r="AJ48" s="920"/>
      <c r="AK48" s="229"/>
      <c r="AM48" s="352" t="s">
        <v>424</v>
      </c>
      <c r="AN48" s="238"/>
      <c r="AO48" s="126"/>
    </row>
    <row r="49" spans="1:44" ht="16.5" hidden="1" thickTop="1">
      <c r="A49" s="278" t="s">
        <v>28</v>
      </c>
      <c r="B49" s="284"/>
      <c r="C49" s="284">
        <f>ROUND(C45*$B$48+L50*C9,2)</f>
        <v>26238.41</v>
      </c>
      <c r="D49" s="284">
        <f>ROUND(D45*$B$48+L50*D9,2)</f>
        <v>16326.12</v>
      </c>
      <c r="E49" s="284">
        <f>ROUND(E45*$B$48+L50,2)</f>
        <v>11661.52</v>
      </c>
      <c r="F49" s="284">
        <f>ROUND(F45*$B$48+L50*F9,2)</f>
        <v>4664.6099999999997</v>
      </c>
      <c r="G49" s="284">
        <f>ROUND(G45*$B$48+L50*G9,2)</f>
        <v>2332.3000000000002</v>
      </c>
      <c r="H49" s="284">
        <f>ROUND(H45*$B$48+L50*H9,2)</f>
        <v>1457.69</v>
      </c>
      <c r="J49" s="125" t="s">
        <v>444</v>
      </c>
      <c r="K49" s="238"/>
      <c r="L49" s="126">
        <v>3427</v>
      </c>
      <c r="O49" s="278" t="s">
        <v>28</v>
      </c>
      <c r="P49" s="279"/>
      <c r="Q49" s="280">
        <f>ROUND(P48*Q45,2)</f>
        <v>32270.82</v>
      </c>
      <c r="V49" s="278" t="s">
        <v>445</v>
      </c>
      <c r="W49" s="279"/>
      <c r="X49" s="280">
        <f>W41</f>
        <v>11000</v>
      </c>
      <c r="AC49" s="278" t="s">
        <v>28</v>
      </c>
      <c r="AD49" s="279"/>
      <c r="AE49" s="280">
        <f>ROUND((($AD$48*AE45)+(AO49+AO50)/AO51),2)</f>
        <v>11790.77</v>
      </c>
      <c r="AF49" s="920"/>
      <c r="AG49" s="280">
        <f>ROUND($AD$48*AG45,2)</f>
        <v>1263.95</v>
      </c>
      <c r="AH49" s="280">
        <f t="shared" ref="AH49:AI49" si="5">ROUND($AD$48*AH45,2)</f>
        <v>5567.76</v>
      </c>
      <c r="AI49" s="280">
        <f t="shared" si="5"/>
        <v>19693.71</v>
      </c>
      <c r="AJ49" s="920"/>
      <c r="AK49" s="280">
        <f>ROUND((($AD$48*AK45)+(AO54+AO55-AO56)/AO57),2)</f>
        <v>817.9</v>
      </c>
      <c r="AM49" s="125" t="s">
        <v>446</v>
      </c>
      <c r="AN49" s="238"/>
      <c r="AO49" s="132">
        <v>200000</v>
      </c>
    </row>
    <row r="50" spans="1:44" hidden="1">
      <c r="J50" s="125" t="s">
        <v>447</v>
      </c>
      <c r="K50" s="238"/>
      <c r="L50" s="132">
        <f>(L48)/L49</f>
        <v>8.7540122556171571</v>
      </c>
      <c r="V50" s="278" t="s">
        <v>448</v>
      </c>
      <c r="W50" s="279"/>
      <c r="X50" s="280">
        <f>ROUND(W44,2)</f>
        <v>7142.86</v>
      </c>
      <c r="AM50" s="125" t="s">
        <v>449</v>
      </c>
      <c r="AN50" s="238"/>
      <c r="AO50" s="132">
        <v>300000</v>
      </c>
    </row>
    <row r="51" spans="1:44" ht="16.5" hidden="1" thickBot="1">
      <c r="A51" s="282">
        <v>2022</v>
      </c>
      <c r="B51" s="282"/>
      <c r="C51" s="282"/>
      <c r="D51" s="282"/>
      <c r="E51" s="282"/>
      <c r="F51" s="282"/>
      <c r="G51" s="282"/>
      <c r="H51" s="282"/>
      <c r="O51" s="282">
        <v>2022</v>
      </c>
      <c r="P51" s="282"/>
      <c r="Q51" s="282"/>
      <c r="AC51" s="290">
        <v>2022</v>
      </c>
      <c r="AD51" s="920"/>
      <c r="AE51" s="920"/>
      <c r="AF51" s="920"/>
      <c r="AG51" s="920"/>
      <c r="AH51" s="920"/>
      <c r="AI51" s="920"/>
      <c r="AJ51" s="920"/>
      <c r="AK51" s="920"/>
      <c r="AM51" s="125" t="s">
        <v>450</v>
      </c>
      <c r="AN51" s="238"/>
      <c r="AO51" s="126">
        <v>2204</v>
      </c>
    </row>
    <row r="52" spans="1:44" ht="17.25" hidden="1" thickTop="1" thickBot="1">
      <c r="A52" s="346" t="s">
        <v>451</v>
      </c>
      <c r="B52" s="398">
        <f>(G52/E52)</f>
        <v>1.0205680705190989</v>
      </c>
      <c r="C52" s="139"/>
      <c r="D52" s="263" t="s">
        <v>440</v>
      </c>
      <c r="E52" s="345">
        <v>102.1</v>
      </c>
      <c r="F52" s="263" t="s">
        <v>452</v>
      </c>
      <c r="G52" s="400">
        <v>104.2</v>
      </c>
      <c r="H52" s="428"/>
      <c r="I52" s="417" t="s">
        <v>453</v>
      </c>
      <c r="J52" s="429"/>
      <c r="K52" s="353"/>
      <c r="O52" s="178" t="str">
        <f>A52</f>
        <v>Indexförändring 2021</v>
      </c>
      <c r="P52" s="399">
        <f>B52</f>
        <v>1.0205680705190989</v>
      </c>
      <c r="Q52" s="139"/>
      <c r="V52" s="282">
        <v>2022</v>
      </c>
      <c r="W52" s="282"/>
      <c r="X52" s="282"/>
      <c r="AC52" s="178" t="s">
        <v>432</v>
      </c>
      <c r="AD52" s="399">
        <f>B52</f>
        <v>1.0205680705190989</v>
      </c>
      <c r="AE52" s="229"/>
      <c r="AF52" s="920"/>
      <c r="AG52" s="229"/>
      <c r="AH52" s="229"/>
      <c r="AI52" s="229"/>
      <c r="AJ52" s="920"/>
      <c r="AK52" s="229"/>
      <c r="AM52" s="125"/>
      <c r="AN52" s="238"/>
      <c r="AO52" s="132"/>
    </row>
    <row r="53" spans="1:44" ht="16.5" hidden="1" thickTop="1">
      <c r="A53" s="278" t="s">
        <v>28</v>
      </c>
      <c r="B53" s="284"/>
      <c r="C53" s="284">
        <f>ROUND(C49*$B$52,2)</f>
        <v>26778.080000000002</v>
      </c>
      <c r="D53" s="284">
        <f t="shared" ref="D53:H53" si="6">ROUND(D49*$B$52,2)</f>
        <v>16661.919999999998</v>
      </c>
      <c r="E53" s="284">
        <f t="shared" si="6"/>
        <v>11901.37</v>
      </c>
      <c r="F53" s="284">
        <f t="shared" si="6"/>
        <v>4760.55</v>
      </c>
      <c r="G53" s="284">
        <f t="shared" si="6"/>
        <v>2380.27</v>
      </c>
      <c r="H53" s="284">
        <f t="shared" si="6"/>
        <v>1487.67</v>
      </c>
      <c r="O53" s="278" t="s">
        <v>28</v>
      </c>
      <c r="P53" s="279"/>
      <c r="Q53" s="280">
        <f>ROUND(P52*Q49,2)</f>
        <v>32934.57</v>
      </c>
      <c r="V53" s="278" t="s">
        <v>442</v>
      </c>
      <c r="W53" s="279"/>
      <c r="X53" s="280">
        <f>ROUND(X48*B52,2)</f>
        <v>11132.57</v>
      </c>
      <c r="AC53" s="278" t="s">
        <v>28</v>
      </c>
      <c r="AD53" s="279"/>
      <c r="AE53" s="280">
        <f>ROUND(AE49*$AD$52,2)</f>
        <v>12033.28</v>
      </c>
      <c r="AF53" s="920"/>
      <c r="AG53" s="280">
        <f>ROUND(AG49*$AD$52,2)</f>
        <v>1289.95</v>
      </c>
      <c r="AH53" s="280">
        <f>ROUND(AH49*$AD$52,2)</f>
        <v>5682.28</v>
      </c>
      <c r="AI53" s="280">
        <f>ROUND(AI49*$AD$52,2)</f>
        <v>20098.77</v>
      </c>
      <c r="AJ53" s="920"/>
      <c r="AK53" s="280">
        <f>ROUND(AK49*$AD$52,2)</f>
        <v>834.72</v>
      </c>
      <c r="AM53" s="352" t="s">
        <v>413</v>
      </c>
      <c r="AN53" s="238"/>
      <c r="AO53" s="132"/>
    </row>
    <row r="54" spans="1:44" hidden="1">
      <c r="A54" s="139"/>
      <c r="B54" s="139"/>
      <c r="C54" s="139"/>
      <c r="D54" s="139"/>
      <c r="E54" s="139"/>
      <c r="F54" s="139"/>
      <c r="G54" s="139"/>
      <c r="H54" s="139"/>
      <c r="J54" s="1161" t="s">
        <v>454</v>
      </c>
      <c r="K54" s="1161"/>
      <c r="O54" s="104"/>
      <c r="P54" s="104"/>
      <c r="Q54" s="104"/>
      <c r="V54" s="278" t="s">
        <v>445</v>
      </c>
      <c r="W54" s="279"/>
      <c r="X54" s="280">
        <f>ROUND(X49*B52,2)</f>
        <v>11226.25</v>
      </c>
      <c r="AM54" s="125" t="s">
        <v>455</v>
      </c>
      <c r="AN54" s="238"/>
      <c r="AO54" s="132">
        <v>105000</v>
      </c>
    </row>
    <row r="55" spans="1:44" ht="16.5" hidden="1" thickBot="1">
      <c r="A55" s="282">
        <v>2023</v>
      </c>
      <c r="B55" s="282"/>
      <c r="C55" s="282"/>
      <c r="D55" s="282"/>
      <c r="E55" s="282"/>
      <c r="F55" s="282"/>
      <c r="G55" s="282"/>
      <c r="H55" s="282"/>
      <c r="J55" s="1161"/>
      <c r="K55" s="1161"/>
      <c r="O55" s="456">
        <v>2023</v>
      </c>
      <c r="P55" s="456"/>
      <c r="Q55" s="456"/>
      <c r="V55" s="278" t="s">
        <v>448</v>
      </c>
      <c r="W55" s="279"/>
      <c r="X55" s="280">
        <f>ROUND(X50*B52,2)</f>
        <v>7289.77</v>
      </c>
      <c r="AC55" s="463">
        <v>2023</v>
      </c>
      <c r="AD55" s="921"/>
      <c r="AE55" s="921"/>
      <c r="AF55" s="921"/>
      <c r="AG55" s="921"/>
      <c r="AH55" s="921"/>
      <c r="AI55" s="921"/>
      <c r="AJ55" s="921"/>
      <c r="AK55" s="921"/>
      <c r="AM55" s="125" t="s">
        <v>456</v>
      </c>
      <c r="AN55" s="238"/>
      <c r="AO55" s="132">
        <v>140000</v>
      </c>
    </row>
    <row r="56" spans="1:44" ht="17.25" hidden="1" thickTop="1" thickBot="1">
      <c r="A56" s="450" t="s">
        <v>451</v>
      </c>
      <c r="B56" s="451">
        <f>(G56/E56)</f>
        <v>1.0364683301343569</v>
      </c>
      <c r="C56" s="452"/>
      <c r="D56" s="453" t="s">
        <v>452</v>
      </c>
      <c r="E56" s="454">
        <v>104.2</v>
      </c>
      <c r="F56" s="453" t="s">
        <v>452</v>
      </c>
      <c r="G56" s="455">
        <v>108</v>
      </c>
      <c r="H56" s="452"/>
      <c r="O56" s="459" t="str">
        <f>A56</f>
        <v>Indexförändring 2021</v>
      </c>
      <c r="P56" s="460">
        <f>B56</f>
        <v>1.0364683301343569</v>
      </c>
      <c r="Q56" s="452"/>
      <c r="R56" t="s">
        <v>457</v>
      </c>
      <c r="AC56" s="459" t="s">
        <v>432</v>
      </c>
      <c r="AD56" s="460">
        <f>B56</f>
        <v>1.0364683301343569</v>
      </c>
      <c r="AE56" s="464"/>
      <c r="AF56" s="921"/>
      <c r="AG56" s="464"/>
      <c r="AH56" s="464"/>
      <c r="AI56" s="464"/>
      <c r="AJ56" s="921"/>
      <c r="AK56" s="464"/>
      <c r="AM56" s="125" t="s">
        <v>122</v>
      </c>
      <c r="AN56" s="238"/>
      <c r="AO56" s="132">
        <v>193976</v>
      </c>
    </row>
    <row r="57" spans="1:44" ht="16.5" hidden="1" thickTop="1">
      <c r="A57" s="456" t="s">
        <v>28</v>
      </c>
      <c r="B57" s="457"/>
      <c r="C57" s="457">
        <f t="shared" ref="C57:H57" si="7">ROUND(C53*$B$56,2)</f>
        <v>27754.63</v>
      </c>
      <c r="D57" s="457">
        <f t="shared" si="7"/>
        <v>17269.55</v>
      </c>
      <c r="E57" s="457">
        <f t="shared" si="7"/>
        <v>12335.39</v>
      </c>
      <c r="F57" s="457">
        <f t="shared" si="7"/>
        <v>4934.16</v>
      </c>
      <c r="G57" s="457">
        <f t="shared" si="7"/>
        <v>2467.0700000000002</v>
      </c>
      <c r="H57" s="457">
        <f t="shared" si="7"/>
        <v>1541.92</v>
      </c>
      <c r="O57" s="456" t="s">
        <v>28</v>
      </c>
      <c r="P57" s="461"/>
      <c r="Q57" s="462">
        <f>ROUND(P56*Q53,2)</f>
        <v>34135.64</v>
      </c>
      <c r="U57" s="449"/>
      <c r="V57" s="456">
        <v>2023</v>
      </c>
      <c r="W57" s="456"/>
      <c r="X57" s="456"/>
      <c r="AC57" s="456" t="s">
        <v>28</v>
      </c>
      <c r="AD57" s="461"/>
      <c r="AE57" s="462">
        <f>ROUND(AE53*$AD$56,2)</f>
        <v>12472.11</v>
      </c>
      <c r="AF57" s="921"/>
      <c r="AG57" s="462">
        <f>ROUND(AG53*$AD$56,2)</f>
        <v>1336.99</v>
      </c>
      <c r="AH57" s="462">
        <f>ROUND(AH53*$AD$56,2)</f>
        <v>5889.5</v>
      </c>
      <c r="AI57" s="462">
        <f>ROUND(AI53*$AD$56,2)</f>
        <v>20831.740000000002</v>
      </c>
      <c r="AJ57" s="921"/>
      <c r="AK57" s="462">
        <f>ROUND(AK53*$AD$56,2)</f>
        <v>865.16</v>
      </c>
      <c r="AM57" s="125" t="s">
        <v>458</v>
      </c>
      <c r="AN57" s="238"/>
      <c r="AO57" s="132">
        <v>29884</v>
      </c>
    </row>
    <row r="58" spans="1:44" ht="33" hidden="1" customHeight="1">
      <c r="A58" s="458"/>
      <c r="B58" s="458"/>
      <c r="C58" s="458"/>
      <c r="D58" s="458"/>
      <c r="E58" s="458"/>
      <c r="F58" s="458"/>
      <c r="G58" s="458"/>
      <c r="H58" s="458"/>
      <c r="O58" s="458"/>
      <c r="P58" s="458"/>
      <c r="Q58" s="458"/>
      <c r="U58" s="449"/>
      <c r="V58" s="456" t="s">
        <v>442</v>
      </c>
      <c r="W58" s="461"/>
      <c r="X58" s="462">
        <f>ROUND(X53*B56,2)</f>
        <v>11538.56</v>
      </c>
      <c r="Y58" t="s">
        <v>457</v>
      </c>
      <c r="AC58" s="458"/>
      <c r="AD58" s="458"/>
      <c r="AE58" s="458"/>
      <c r="AF58" s="458"/>
      <c r="AG58" s="458"/>
      <c r="AH58" s="458"/>
      <c r="AI58" s="458"/>
      <c r="AJ58" s="458"/>
      <c r="AK58" s="458"/>
    </row>
    <row r="59" spans="1:44" hidden="1">
      <c r="I59" t="s">
        <v>457</v>
      </c>
      <c r="U59" s="449"/>
      <c r="V59" s="456" t="s">
        <v>445</v>
      </c>
      <c r="W59" s="461"/>
      <c r="X59" s="462">
        <f>ROUND(X54*B56,2)</f>
        <v>11635.65</v>
      </c>
      <c r="AK59" t="s">
        <v>457</v>
      </c>
    </row>
    <row r="60" spans="1:44">
      <c r="A60" s="782" t="s">
        <v>459</v>
      </c>
      <c r="B60" s="418"/>
      <c r="C60" s="418"/>
      <c r="V60" s="104"/>
      <c r="W60" s="85"/>
      <c r="X60" s="142"/>
    </row>
    <row r="61" spans="1:44" ht="15.75" hidden="1" thickBot="1">
      <c r="U61" s="449"/>
      <c r="V61" s="456" t="s">
        <v>448</v>
      </c>
      <c r="W61" s="461"/>
      <c r="X61" s="462">
        <f>ROUND(X55*B56,2)</f>
        <v>7555.62</v>
      </c>
    </row>
    <row r="62" spans="1:44" s="467" customFormat="1" ht="15.75" hidden="1" thickBot="1">
      <c r="A62" s="466" t="s">
        <v>460</v>
      </c>
      <c r="AE62" s="468"/>
    </row>
    <row r="63" spans="1:44" ht="15.75" hidden="1">
      <c r="X63" s="427"/>
      <c r="AE63" s="374"/>
      <c r="AN63" s="1157" t="s">
        <v>461</v>
      </c>
      <c r="AO63" s="1157"/>
      <c r="AP63" s="1157"/>
      <c r="AQ63" s="1157"/>
      <c r="AR63" s="1157"/>
    </row>
    <row r="64" spans="1:44" ht="46.5" hidden="1" customHeight="1">
      <c r="A64" s="415" t="s">
        <v>462</v>
      </c>
      <c r="B64" s="416"/>
      <c r="C64" s="416"/>
      <c r="D64" s="416"/>
      <c r="E64" s="416"/>
      <c r="F64" s="416"/>
      <c r="G64" s="416"/>
      <c r="H64" s="416"/>
      <c r="O64" s="343" t="s">
        <v>407</v>
      </c>
      <c r="P64" s="344"/>
      <c r="Q64" s="344"/>
      <c r="V64" s="1158" t="s">
        <v>463</v>
      </c>
      <c r="W64" s="1158"/>
      <c r="X64" s="1158"/>
      <c r="Y64" s="1158"/>
      <c r="Z64" s="1158"/>
      <c r="AC64" s="343" t="s">
        <v>409</v>
      </c>
      <c r="AD64" s="343"/>
      <c r="AE64" s="343"/>
      <c r="AF64" s="343"/>
      <c r="AG64" s="343"/>
      <c r="AH64" s="342"/>
      <c r="AI64" s="342"/>
      <c r="AJ64" s="344"/>
      <c r="AK64" s="344"/>
      <c r="AL64" s="344"/>
      <c r="AN64" s="1157" t="s">
        <v>461</v>
      </c>
      <c r="AO64" s="1157"/>
      <c r="AP64" s="1157"/>
      <c r="AQ64" s="1157"/>
      <c r="AR64" s="1157"/>
    </row>
    <row r="65" spans="1:49" ht="15.75" hidden="1">
      <c r="A65" s="343" t="s">
        <v>405</v>
      </c>
      <c r="B65" s="343"/>
      <c r="C65" s="343"/>
      <c r="D65" s="343"/>
      <c r="E65" s="342"/>
      <c r="F65" s="342"/>
      <c r="G65" s="342"/>
      <c r="H65" s="342"/>
      <c r="O65" s="343" t="s">
        <v>464</v>
      </c>
      <c r="P65" s="344"/>
      <c r="Q65" s="344"/>
      <c r="V65" s="1158"/>
      <c r="W65" s="1158"/>
      <c r="X65" s="1158"/>
      <c r="Y65" s="1158"/>
      <c r="Z65" s="1158"/>
      <c r="AN65" s="1157"/>
      <c r="AO65" s="1157"/>
      <c r="AP65" s="1157"/>
      <c r="AQ65" s="1157"/>
      <c r="AR65" s="1157"/>
    </row>
    <row r="66" spans="1:49" ht="24.75" hidden="1">
      <c r="AE66" s="351" t="s">
        <v>411</v>
      </c>
      <c r="AF66" s="349"/>
      <c r="AG66" s="347" t="s">
        <v>412</v>
      </c>
      <c r="AH66" s="347"/>
      <c r="AI66" s="347"/>
      <c r="AJ66" s="350"/>
      <c r="AK66" s="348" t="s">
        <v>413</v>
      </c>
      <c r="AT66" s="15"/>
      <c r="AU66" s="15"/>
      <c r="AV66" s="139" t="s">
        <v>62</v>
      </c>
      <c r="AW66" s="139" t="s">
        <v>465</v>
      </c>
    </row>
    <row r="67" spans="1:49" ht="15.75" hidden="1">
      <c r="A67" s="139" t="s">
        <v>368</v>
      </c>
      <c r="B67" s="139"/>
      <c r="C67" s="139" t="s">
        <v>369</v>
      </c>
      <c r="D67" s="139" t="s">
        <v>370</v>
      </c>
      <c r="E67" s="139" t="s">
        <v>371</v>
      </c>
      <c r="F67" s="139" t="s">
        <v>372</v>
      </c>
      <c r="G67" s="139" t="s">
        <v>373</v>
      </c>
      <c r="H67" s="139" t="s">
        <v>374</v>
      </c>
      <c r="AA67" s="85"/>
      <c r="AB67" s="85"/>
      <c r="AC67" s="139" t="s">
        <v>376</v>
      </c>
      <c r="AD67" s="139"/>
      <c r="AE67" s="139" t="s">
        <v>377</v>
      </c>
      <c r="AF67" s="920"/>
      <c r="AG67" s="139" t="s">
        <v>378</v>
      </c>
      <c r="AH67" s="139" t="s">
        <v>379</v>
      </c>
      <c r="AI67" s="139" t="s">
        <v>380</v>
      </c>
      <c r="AJ67" s="920"/>
      <c r="AK67" s="228" t="s">
        <v>417</v>
      </c>
      <c r="AM67" s="352" t="s">
        <v>466</v>
      </c>
      <c r="AN67" s="238"/>
      <c r="AO67" s="126"/>
      <c r="AT67" s="290">
        <v>2018</v>
      </c>
      <c r="AU67" s="920"/>
      <c r="AV67" s="920"/>
      <c r="AW67" s="920"/>
    </row>
    <row r="68" spans="1:49" ht="15.75" hidden="1">
      <c r="A68" s="282">
        <v>2021</v>
      </c>
      <c r="B68" s="282"/>
      <c r="C68" s="282"/>
      <c r="D68" s="282"/>
      <c r="E68" s="282"/>
      <c r="F68" s="282"/>
      <c r="G68" s="282"/>
      <c r="H68" s="282"/>
      <c r="O68" s="282">
        <v>2021</v>
      </c>
      <c r="P68" s="282"/>
      <c r="Q68" s="282"/>
      <c r="W68" s="282">
        <v>2021</v>
      </c>
      <c r="X68" s="282"/>
      <c r="Y68" s="282"/>
      <c r="AA68" s="85"/>
      <c r="AB68" s="85"/>
      <c r="AC68" s="290">
        <v>2021</v>
      </c>
      <c r="AD68" s="920"/>
      <c r="AE68" s="920"/>
      <c r="AF68" s="920"/>
      <c r="AG68" s="920"/>
      <c r="AH68" s="920"/>
      <c r="AI68" s="920"/>
      <c r="AJ68" s="920"/>
      <c r="AK68" s="920"/>
      <c r="AM68" s="125" t="s">
        <v>424</v>
      </c>
      <c r="AN68" s="238"/>
      <c r="AO68" s="126">
        <f>25722000</f>
        <v>25722000</v>
      </c>
      <c r="AT68" s="177"/>
      <c r="AU68" s="177"/>
      <c r="AV68" s="139"/>
      <c r="AW68" s="139"/>
    </row>
    <row r="69" spans="1:49" ht="15.75" hidden="1">
      <c r="A69" s="278" t="s">
        <v>28</v>
      </c>
      <c r="B69" s="279"/>
      <c r="C69" s="284">
        <f>$E$112*C70</f>
        <v>27504</v>
      </c>
      <c r="D69" s="284">
        <f>$E$112*D70</f>
        <v>17113.600000000002</v>
      </c>
      <c r="E69" s="284">
        <f>L73</f>
        <v>12056</v>
      </c>
      <c r="F69" s="284">
        <f>$E$112*F70</f>
        <v>4889.5999999999985</v>
      </c>
      <c r="G69" s="284">
        <f>$E$112*G70</f>
        <v>2444.7999999999993</v>
      </c>
      <c r="H69" s="284">
        <f>$E$112*H70</f>
        <v>1528</v>
      </c>
      <c r="J69" s="352" t="s">
        <v>467</v>
      </c>
      <c r="K69" s="475"/>
      <c r="L69" s="475"/>
      <c r="O69" s="178"/>
      <c r="P69" s="399"/>
      <c r="Q69" s="139"/>
      <c r="S69" s="127" t="s">
        <v>467</v>
      </c>
      <c r="T69" s="128"/>
      <c r="W69" s="278" t="s">
        <v>442</v>
      </c>
      <c r="X69" s="279"/>
      <c r="Y69" s="280">
        <f>W97</f>
        <v>10295.859999999999</v>
      </c>
      <c r="AA69" s="85"/>
      <c r="AB69" s="85"/>
      <c r="AC69" s="177"/>
      <c r="AD69" s="178"/>
      <c r="AE69" s="229"/>
      <c r="AF69" s="920"/>
      <c r="AG69" s="229"/>
      <c r="AH69" s="229"/>
      <c r="AI69" s="229"/>
      <c r="AJ69" s="920"/>
      <c r="AK69" s="229"/>
      <c r="AM69" s="125" t="s">
        <v>413</v>
      </c>
      <c r="AN69" s="238"/>
      <c r="AO69" s="126">
        <f>24582000+3596000+922000+2000</f>
        <v>29102000</v>
      </c>
      <c r="AT69" s="278" t="s">
        <v>28</v>
      </c>
      <c r="AU69" s="279"/>
      <c r="AV69" s="280">
        <v>153</v>
      </c>
      <c r="AW69" s="280">
        <v>34.700000000000003</v>
      </c>
    </row>
    <row r="70" spans="1:49" ht="15.75" hidden="1">
      <c r="A70" s="104" t="s">
        <v>384</v>
      </c>
      <c r="B70" s="474"/>
      <c r="C70" s="237">
        <v>2.25</v>
      </c>
      <c r="D70" s="237">
        <v>1.4000000000000001</v>
      </c>
      <c r="E70" s="237">
        <v>1</v>
      </c>
      <c r="F70" s="237">
        <v>0.39999999999999991</v>
      </c>
      <c r="G70" s="237">
        <v>0.19999999999999996</v>
      </c>
      <c r="H70" s="237">
        <v>0.125</v>
      </c>
      <c r="J70" s="125" t="s">
        <v>468</v>
      </c>
      <c r="K70" s="124"/>
      <c r="L70" s="126">
        <v>43634000</v>
      </c>
      <c r="O70" s="278" t="s">
        <v>28</v>
      </c>
      <c r="P70" s="279"/>
      <c r="Q70" s="280">
        <f>T73</f>
        <v>35979</v>
      </c>
      <c r="S70" s="124"/>
      <c r="T70" s="124"/>
      <c r="W70" s="278" t="s">
        <v>445</v>
      </c>
      <c r="X70" s="279"/>
      <c r="Y70" s="280">
        <f>Z97</f>
        <v>10763.366046511628</v>
      </c>
      <c r="AA70" s="85"/>
      <c r="AB70" s="85"/>
      <c r="AC70" s="278" t="s">
        <v>28</v>
      </c>
      <c r="AD70" s="279"/>
      <c r="AE70" s="280">
        <f>AO78</f>
        <v>11820.77205882353</v>
      </c>
      <c r="AF70" s="920"/>
      <c r="AG70" s="280">
        <v>1194.4461645581948</v>
      </c>
      <c r="AH70" s="280">
        <v>4865.2986600045424</v>
      </c>
      <c r="AI70" s="280">
        <v>19333.303916665849</v>
      </c>
      <c r="AJ70" s="920"/>
      <c r="AK70" s="396">
        <f>AO79</f>
        <v>965.91323973580268</v>
      </c>
      <c r="AM70" s="125" t="s">
        <v>469</v>
      </c>
      <c r="AN70" s="238"/>
      <c r="AO70" s="126">
        <f>32895000-922000</f>
        <v>31973000</v>
      </c>
      <c r="AT70" s="214"/>
      <c r="AU70" s="214"/>
      <c r="AV70" s="214"/>
      <c r="AW70" s="214"/>
    </row>
    <row r="71" spans="1:49" ht="15.75" hidden="1">
      <c r="J71" s="125" t="s">
        <v>470</v>
      </c>
      <c r="K71" s="236"/>
      <c r="L71" s="126">
        <f>L70-T71-W95-W98-Z95</f>
        <v>41955013.680000007</v>
      </c>
      <c r="S71" s="125" t="s">
        <v>471</v>
      </c>
      <c r="T71" s="132">
        <v>1224880.8</v>
      </c>
      <c r="W71" s="278" t="s">
        <v>448</v>
      </c>
      <c r="X71" s="279"/>
      <c r="Y71" s="280">
        <f>W100</f>
        <v>12147.314285714287</v>
      </c>
      <c r="AA71" s="85"/>
      <c r="AB71" s="85"/>
      <c r="AM71" s="125"/>
      <c r="AN71" s="238"/>
      <c r="AO71" s="126"/>
      <c r="AT71" s="290">
        <v>2019</v>
      </c>
      <c r="AU71" s="920"/>
      <c r="AV71" s="920"/>
      <c r="AW71" s="920"/>
    </row>
    <row r="72" spans="1:49" ht="16.5" hidden="1" thickBot="1">
      <c r="A72" s="282">
        <v>2022</v>
      </c>
      <c r="B72" s="282"/>
      <c r="C72" s="282"/>
      <c r="D72" s="282"/>
      <c r="E72" s="282"/>
      <c r="F72" s="282"/>
      <c r="G72" s="282"/>
      <c r="H72" s="282"/>
      <c r="J72" s="125" t="s">
        <v>472</v>
      </c>
      <c r="K72" s="238"/>
      <c r="L72" s="126">
        <v>3480</v>
      </c>
      <c r="O72" s="282">
        <v>2022</v>
      </c>
      <c r="P72" s="282"/>
      <c r="Q72" s="282"/>
      <c r="S72" s="125" t="s">
        <v>473</v>
      </c>
      <c r="T72" s="132">
        <v>25.5</v>
      </c>
      <c r="W72" s="282">
        <v>2022</v>
      </c>
      <c r="X72" s="282"/>
      <c r="Y72" s="282"/>
      <c r="AC72" s="290">
        <v>2022</v>
      </c>
      <c r="AD72" s="920"/>
      <c r="AE72" s="920"/>
      <c r="AF72" s="920"/>
      <c r="AG72" s="920"/>
      <c r="AH72" s="920"/>
      <c r="AI72" s="920"/>
      <c r="AJ72" s="920"/>
      <c r="AK72" s="920"/>
      <c r="AM72" s="125"/>
      <c r="AN72" s="238"/>
      <c r="AO72" s="132"/>
      <c r="AT72" s="178" t="e">
        <f>#REF!</f>
        <v>#REF!</v>
      </c>
      <c r="AU72" s="178" t="e">
        <f>#REF!</f>
        <v>#REF!</v>
      </c>
      <c r="AV72" s="214"/>
      <c r="AW72" s="214"/>
    </row>
    <row r="73" spans="1:49" ht="17.25" hidden="1" thickTop="1" thickBot="1">
      <c r="A73" s="346" t="s">
        <v>451</v>
      </c>
      <c r="B73" s="398">
        <f>(G73/E73)</f>
        <v>1.0205680705190989</v>
      </c>
      <c r="C73" s="139"/>
      <c r="D73" s="263" t="s">
        <v>440</v>
      </c>
      <c r="E73" s="345">
        <v>102.1</v>
      </c>
      <c r="F73" s="263" t="s">
        <v>452</v>
      </c>
      <c r="G73" s="400">
        <v>104.2</v>
      </c>
      <c r="H73" s="428"/>
      <c r="I73" s="474"/>
      <c r="J73" s="125" t="s">
        <v>474</v>
      </c>
      <c r="K73" s="238"/>
      <c r="L73" s="132">
        <f>ROUND((L71)/L72,0)</f>
        <v>12056</v>
      </c>
      <c r="O73" s="178" t="str">
        <f>A73</f>
        <v>Indexförändring 2021</v>
      </c>
      <c r="P73" s="399">
        <f>B73</f>
        <v>1.0205680705190989</v>
      </c>
      <c r="Q73" s="139"/>
      <c r="S73" s="125" t="s">
        <v>475</v>
      </c>
      <c r="T73" s="132">
        <f>ROUND((T71/T72)-L73,0)</f>
        <v>35979</v>
      </c>
      <c r="W73" s="278" t="s">
        <v>442</v>
      </c>
      <c r="X73" s="279"/>
      <c r="Y73" s="280">
        <f>Y69*V75</f>
        <v>10507.625974534769</v>
      </c>
      <c r="AA73" s="85"/>
      <c r="AB73" s="85"/>
      <c r="AC73" s="178" t="s">
        <v>432</v>
      </c>
      <c r="AD73" s="399">
        <f>B73</f>
        <v>1.0205680705190989</v>
      </c>
      <c r="AE73" s="229"/>
      <c r="AF73" s="920"/>
      <c r="AG73" s="229"/>
      <c r="AH73" s="229"/>
      <c r="AI73" s="229"/>
      <c r="AJ73" s="920"/>
      <c r="AK73" s="229"/>
      <c r="AM73" s="125" t="s">
        <v>476</v>
      </c>
      <c r="AN73" s="238"/>
      <c r="AO73" s="126">
        <v>2176</v>
      </c>
      <c r="AT73" s="278" t="s">
        <v>28</v>
      </c>
      <c r="AU73" s="279"/>
      <c r="AV73" s="280" t="e">
        <f>ROUND(AV69*AU72,2)</f>
        <v>#REF!</v>
      </c>
      <c r="AW73" s="280" t="e">
        <f>ROUND(AW69*AU72,2)</f>
        <v>#REF!</v>
      </c>
    </row>
    <row r="74" spans="1:49" ht="17.25" hidden="1" thickTop="1" thickBot="1">
      <c r="A74" s="278" t="s">
        <v>28</v>
      </c>
      <c r="B74" s="284"/>
      <c r="C74" s="284">
        <f t="shared" ref="C74:H74" si="8">C69*$B$116</f>
        <v>28507.024952015352</v>
      </c>
      <c r="D74" s="284">
        <f t="shared" si="8"/>
        <v>17737.704414587333</v>
      </c>
      <c r="E74" s="284">
        <f t="shared" si="8"/>
        <v>12495.662188099806</v>
      </c>
      <c r="F74" s="284">
        <f t="shared" si="8"/>
        <v>5067.9155470249498</v>
      </c>
      <c r="G74" s="284">
        <f t="shared" si="8"/>
        <v>2533.9577735124749</v>
      </c>
      <c r="H74" s="284">
        <f t="shared" si="8"/>
        <v>1583.7236084452973</v>
      </c>
      <c r="O74" s="278" t="s">
        <v>28</v>
      </c>
      <c r="P74" s="279"/>
      <c r="Q74" s="280">
        <f>P73*Q70</f>
        <v>36719.018609206658</v>
      </c>
      <c r="V74" s="178" t="s">
        <v>430</v>
      </c>
      <c r="W74" s="278" t="s">
        <v>445</v>
      </c>
      <c r="X74" s="279"/>
      <c r="Y74" s="280">
        <f>Y70*V75</f>
        <v>10984.747718379154</v>
      </c>
      <c r="AA74" s="85"/>
      <c r="AB74" s="85"/>
      <c r="AC74" s="278" t="s">
        <v>28</v>
      </c>
      <c r="AD74" s="279"/>
      <c r="AE74" s="280">
        <f>AE70*$AD$116</f>
        <v>12251.855876707688</v>
      </c>
      <c r="AF74" s="920"/>
      <c r="AG74" s="280">
        <f>AG70*$AD$116</f>
        <v>1238.0056216150194</v>
      </c>
      <c r="AH74" s="280">
        <f>AH70*$AD$116</f>
        <v>5042.7279777398326</v>
      </c>
      <c r="AI74" s="280">
        <f>AI70*$AD$116</f>
        <v>20038.357226486674</v>
      </c>
      <c r="AJ74" s="920"/>
      <c r="AK74" s="280">
        <f>AK70*$AD$116</f>
        <v>1001.1384826436341</v>
      </c>
      <c r="AM74" s="125" t="s">
        <v>477</v>
      </c>
      <c r="AN74" s="238"/>
      <c r="AO74" s="126">
        <v>30129</v>
      </c>
    </row>
    <row r="75" spans="1:49" ht="17.25" hidden="1" thickTop="1" thickBot="1">
      <c r="A75" s="139"/>
      <c r="B75" s="139"/>
      <c r="C75" s="139"/>
      <c r="D75" s="139"/>
      <c r="E75" s="139"/>
      <c r="F75" s="139"/>
      <c r="G75" s="139"/>
      <c r="H75" s="139"/>
      <c r="O75" s="104"/>
      <c r="P75" s="104"/>
      <c r="Q75" s="104"/>
      <c r="S75" s="465"/>
      <c r="V75" s="398">
        <f>B73</f>
        <v>1.0205680705190989</v>
      </c>
      <c r="W75" s="278" t="s">
        <v>448</v>
      </c>
      <c r="X75" s="279"/>
      <c r="Y75" s="280">
        <f>Y71*V75</f>
        <v>12397.161102560516</v>
      </c>
      <c r="AA75" s="93"/>
      <c r="AB75" s="93"/>
      <c r="AM75" s="125" t="s">
        <v>478</v>
      </c>
      <c r="AN75" s="238"/>
      <c r="AO75" s="126"/>
      <c r="AT75" s="290">
        <v>2020</v>
      </c>
      <c r="AU75" s="920"/>
      <c r="AV75" s="920"/>
      <c r="AW75" s="920"/>
    </row>
    <row r="76" spans="1:49" ht="17.25" hidden="1" thickTop="1" thickBot="1">
      <c r="A76" s="282">
        <v>2023</v>
      </c>
      <c r="B76" s="282"/>
      <c r="C76" s="282" t="s">
        <v>369</v>
      </c>
      <c r="D76" s="282" t="s">
        <v>370</v>
      </c>
      <c r="E76" s="282" t="s">
        <v>371</v>
      </c>
      <c r="F76" s="282" t="s">
        <v>372</v>
      </c>
      <c r="G76" s="282" t="s">
        <v>373</v>
      </c>
      <c r="H76" s="282" t="s">
        <v>374</v>
      </c>
      <c r="O76" s="282">
        <v>2023</v>
      </c>
      <c r="P76" s="282"/>
      <c r="Q76" s="282"/>
      <c r="W76" s="282">
        <v>2023</v>
      </c>
      <c r="X76" s="282"/>
      <c r="Y76" s="282"/>
      <c r="AC76" s="290">
        <v>2023</v>
      </c>
      <c r="AD76" s="920"/>
      <c r="AE76" s="920"/>
      <c r="AF76" s="920"/>
      <c r="AG76" s="920"/>
      <c r="AH76" s="920"/>
      <c r="AI76" s="920"/>
      <c r="AJ76" s="920"/>
      <c r="AK76" s="920"/>
      <c r="AM76" s="125"/>
      <c r="AN76" s="238"/>
      <c r="AO76" s="132"/>
      <c r="AT76" s="178" t="e">
        <f>#REF!</f>
        <v>#REF!</v>
      </c>
      <c r="AU76" s="178" t="e">
        <f>#REF!</f>
        <v>#REF!</v>
      </c>
      <c r="AV76" s="214"/>
      <c r="AW76" s="214"/>
    </row>
    <row r="77" spans="1:49" ht="17.25" hidden="1" thickTop="1" thickBot="1">
      <c r="A77" s="346" t="s">
        <v>479</v>
      </c>
      <c r="B77" s="473">
        <f>(G77/E77)</f>
        <v>1.0364683301343569</v>
      </c>
      <c r="C77" s="139"/>
      <c r="D77" s="263" t="s">
        <v>452</v>
      </c>
      <c r="E77" s="345">
        <v>104.2</v>
      </c>
      <c r="F77" s="263" t="s">
        <v>480</v>
      </c>
      <c r="G77" s="400">
        <v>108</v>
      </c>
      <c r="H77" s="428"/>
      <c r="J77" s="417">
        <f>G77/E77</f>
        <v>1.0364683301343569</v>
      </c>
      <c r="O77" s="178" t="str">
        <f>A77</f>
        <v>Indexförändring 2022</v>
      </c>
      <c r="P77" s="399">
        <f>B77</f>
        <v>1.0364683301343569</v>
      </c>
      <c r="Q77" s="139"/>
      <c r="T77" s="353"/>
      <c r="W77" s="278" t="s">
        <v>442</v>
      </c>
      <c r="X77" s="279"/>
      <c r="Y77" s="280">
        <f>ROUND(Y73*V79,2)</f>
        <v>10890.82</v>
      </c>
      <c r="AC77" s="178" t="s">
        <v>432</v>
      </c>
      <c r="AD77" s="399">
        <f>B77</f>
        <v>1.0364683301343569</v>
      </c>
      <c r="AE77" s="229"/>
      <c r="AF77" s="920"/>
      <c r="AG77" s="229"/>
      <c r="AH77" s="229"/>
      <c r="AI77" s="229"/>
      <c r="AJ77" s="920"/>
      <c r="AK77" s="229"/>
      <c r="AM77" s="125"/>
      <c r="AN77" s="238"/>
      <c r="AO77" s="132"/>
      <c r="AT77" s="278" t="s">
        <v>28</v>
      </c>
      <c r="AU77" s="279"/>
      <c r="AV77" s="280" t="e">
        <f>ROUND(AV73*AU76,2)</f>
        <v>#REF!</v>
      </c>
      <c r="AW77" s="280" t="e">
        <f>ROUND(AW73*AU76,2)</f>
        <v>#REF!</v>
      </c>
    </row>
    <row r="78" spans="1:49" ht="17.25" hidden="1" thickTop="1" thickBot="1">
      <c r="A78" s="278" t="s">
        <v>28</v>
      </c>
      <c r="B78" s="284"/>
      <c r="C78" s="284">
        <f t="shared" ref="C78:H78" si="9">ROUND(C74*$B$120,2)</f>
        <v>29721.21</v>
      </c>
      <c r="D78" s="284">
        <f t="shared" si="9"/>
        <v>18493.2</v>
      </c>
      <c r="E78" s="284">
        <f t="shared" si="9"/>
        <v>13027.88</v>
      </c>
      <c r="F78" s="284">
        <f t="shared" si="9"/>
        <v>5283.77</v>
      </c>
      <c r="G78" s="284">
        <f t="shared" si="9"/>
        <v>2641.89</v>
      </c>
      <c r="H78" s="284">
        <f t="shared" si="9"/>
        <v>1651.18</v>
      </c>
      <c r="O78" s="278" t="s">
        <v>28</v>
      </c>
      <c r="P78" s="279"/>
      <c r="Q78" s="280">
        <f>ROUND(P77*Q74,2)</f>
        <v>38058.1</v>
      </c>
      <c r="T78" s="353">
        <f>T71/T72</f>
        <v>48034.541176470593</v>
      </c>
      <c r="V78" s="178" t="s">
        <v>430</v>
      </c>
      <c r="W78" s="278" t="s">
        <v>445</v>
      </c>
      <c r="X78" s="279"/>
      <c r="Y78" s="280">
        <f>ROUND(Y74*V79,2)</f>
        <v>11385.34</v>
      </c>
      <c r="AC78" s="278" t="s">
        <v>28</v>
      </c>
      <c r="AD78" s="279"/>
      <c r="AE78" s="280">
        <f>ROUND(AE74*$AD$120,2)</f>
        <v>12773.69</v>
      </c>
      <c r="AF78" s="920"/>
      <c r="AG78" s="280">
        <f>ROUND(AG74*$AD$120,2)</f>
        <v>1290.74</v>
      </c>
      <c r="AH78" s="280">
        <f>ROUND(AH74*$AD$120,2)</f>
        <v>5257.51</v>
      </c>
      <c r="AI78" s="280">
        <f>ROUND(AI74*$AD$120,2)</f>
        <v>20891.84</v>
      </c>
      <c r="AJ78" s="920"/>
      <c r="AK78" s="280">
        <f>ROUND(AK74*$AD$120,2)</f>
        <v>1043.78</v>
      </c>
      <c r="AM78" s="352" t="s">
        <v>481</v>
      </c>
      <c r="AN78" s="238"/>
      <c r="AO78" s="132">
        <f>AO68/AO73</f>
        <v>11820.77205882353</v>
      </c>
    </row>
    <row r="79" spans="1:49" ht="17.25" hidden="1" thickTop="1" thickBot="1">
      <c r="T79" s="353">
        <f>T78-L73</f>
        <v>35978.541176470593</v>
      </c>
      <c r="V79" s="398">
        <f>B77</f>
        <v>1.0364683301343569</v>
      </c>
      <c r="W79" s="278" t="s">
        <v>448</v>
      </c>
      <c r="X79" s="279"/>
      <c r="Y79" s="280">
        <f>ROUND(Y75*V79,2)</f>
        <v>12849.26</v>
      </c>
      <c r="AM79" s="352" t="s">
        <v>482</v>
      </c>
      <c r="AN79" s="238"/>
      <c r="AO79" s="132">
        <f>AO69/AO74</f>
        <v>965.91323973580268</v>
      </c>
      <c r="AT79" s="290">
        <v>2021</v>
      </c>
      <c r="AU79" s="920"/>
      <c r="AV79" s="920"/>
      <c r="AW79" s="920"/>
    </row>
    <row r="80" spans="1:49" ht="26.25" hidden="1" customHeight="1" thickTop="1" thickBot="1">
      <c r="A80" s="282">
        <v>2024</v>
      </c>
      <c r="B80" s="282"/>
      <c r="C80" s="282" t="s">
        <v>369</v>
      </c>
      <c r="D80" s="282" t="s">
        <v>370</v>
      </c>
      <c r="E80" s="282" t="s">
        <v>371</v>
      </c>
      <c r="F80" s="282" t="s">
        <v>372</v>
      </c>
      <c r="G80" s="282" t="s">
        <v>373</v>
      </c>
      <c r="H80" s="282" t="s">
        <v>374</v>
      </c>
      <c r="J80" s="1162" t="s">
        <v>483</v>
      </c>
      <c r="K80" s="1162"/>
      <c r="O80" s="282">
        <v>2024</v>
      </c>
      <c r="P80" s="282"/>
      <c r="Q80" s="282"/>
      <c r="W80" s="282">
        <v>2024</v>
      </c>
      <c r="X80" s="282"/>
      <c r="Y80" s="282"/>
      <c r="AC80" s="290">
        <v>2024</v>
      </c>
      <c r="AD80" s="920"/>
      <c r="AE80" s="920"/>
      <c r="AF80" s="920"/>
      <c r="AG80" s="920"/>
      <c r="AH80" s="920"/>
      <c r="AI80" s="920"/>
      <c r="AJ80" s="920"/>
      <c r="AK80" s="920"/>
      <c r="AM80" s="352" t="s">
        <v>484</v>
      </c>
      <c r="AN80" s="238"/>
      <c r="AO80" s="132"/>
      <c r="AT80" s="178"/>
      <c r="AU80" s="178" t="e">
        <f>#REF!</f>
        <v>#REF!</v>
      </c>
      <c r="AV80" s="214"/>
      <c r="AW80" s="214"/>
    </row>
    <row r="81" spans="1:51" ht="17.25" hidden="1" thickTop="1" thickBot="1">
      <c r="A81" s="346" t="s">
        <v>485</v>
      </c>
      <c r="B81" s="451">
        <f>(G81/E81)</f>
        <v>1.0453703703703705</v>
      </c>
      <c r="C81" s="139"/>
      <c r="D81" s="263" t="s">
        <v>480</v>
      </c>
      <c r="E81" s="345">
        <v>108</v>
      </c>
      <c r="F81" s="263" t="s">
        <v>486</v>
      </c>
      <c r="G81" s="455">
        <v>112.9</v>
      </c>
      <c r="H81" s="428"/>
      <c r="J81" s="1162"/>
      <c r="K81" s="1162"/>
      <c r="O81" s="178" t="str">
        <f>A81</f>
        <v>Indexförändring 2023</v>
      </c>
      <c r="P81" s="399">
        <f>B81</f>
        <v>1.0453703703703705</v>
      </c>
      <c r="Q81" s="139"/>
      <c r="W81" s="278" t="s">
        <v>442</v>
      </c>
      <c r="X81" s="279"/>
      <c r="Y81" s="280">
        <f>ROUND(Y77*V83,2)</f>
        <v>11384.94</v>
      </c>
      <c r="AC81" s="178" t="s">
        <v>432</v>
      </c>
      <c r="AD81" s="399">
        <f>B81</f>
        <v>1.0453703703703705</v>
      </c>
      <c r="AE81" s="229"/>
      <c r="AF81" s="920"/>
      <c r="AG81" s="229"/>
      <c r="AH81" s="229"/>
      <c r="AI81" s="229"/>
      <c r="AJ81" s="920"/>
      <c r="AK81" s="229"/>
      <c r="AM81" s="125" t="s">
        <v>487</v>
      </c>
      <c r="AN81" s="238"/>
      <c r="AO81" s="132"/>
      <c r="AP81" t="s">
        <v>488</v>
      </c>
      <c r="AT81" s="278" t="s">
        <v>28</v>
      </c>
      <c r="AU81" s="279"/>
      <c r="AV81" s="280" t="e">
        <f>ROUND(AV77*$AU$123,2)</f>
        <v>#REF!</v>
      </c>
      <c r="AW81" s="280" t="e">
        <f>ROUND(AW77*$AU$123,2)</f>
        <v>#REF!</v>
      </c>
    </row>
    <row r="82" spans="1:51" ht="17.25" hidden="1" thickTop="1" thickBot="1">
      <c r="A82" s="278" t="s">
        <v>28</v>
      </c>
      <c r="B82" s="284"/>
      <c r="C82" s="284">
        <f t="shared" ref="C82:H82" si="10">ROUND(C78*$B$124,2)</f>
        <v>31357.72</v>
      </c>
      <c r="D82" s="284">
        <f t="shared" si="10"/>
        <v>19511.48</v>
      </c>
      <c r="E82" s="284">
        <f t="shared" si="10"/>
        <v>13745.22</v>
      </c>
      <c r="F82" s="284">
        <f t="shared" si="10"/>
        <v>5574.71</v>
      </c>
      <c r="G82" s="284">
        <f t="shared" si="10"/>
        <v>2787.36</v>
      </c>
      <c r="H82" s="284">
        <f t="shared" si="10"/>
        <v>1742.1</v>
      </c>
      <c r="J82" s="1162"/>
      <c r="K82" s="1162"/>
      <c r="O82" s="278" t="s">
        <v>28</v>
      </c>
      <c r="P82" s="279"/>
      <c r="Q82" s="280">
        <f>ROUND(P81*Q78,2)</f>
        <v>39784.81</v>
      </c>
      <c r="V82" s="178" t="s">
        <v>430</v>
      </c>
      <c r="W82" s="278" t="s">
        <v>445</v>
      </c>
      <c r="X82" s="279"/>
      <c r="Y82" s="280">
        <f>ROUND(Y78*V83,2)</f>
        <v>11901.9</v>
      </c>
      <c r="AC82" s="278" t="s">
        <v>28</v>
      </c>
      <c r="AD82" s="279"/>
      <c r="AE82" s="280">
        <f>ROUND(AE78*$AD$124,2)</f>
        <v>13477.04</v>
      </c>
      <c r="AF82" s="920"/>
      <c r="AG82" s="280">
        <f>ROUND(AG78*$AD$124,2)</f>
        <v>1361.81</v>
      </c>
      <c r="AH82" s="280">
        <f>ROUND(AH78*$AD$124,2)</f>
        <v>5547</v>
      </c>
      <c r="AI82" s="280">
        <f>ROUND(AI78*$AD$124,2)</f>
        <v>22042.19</v>
      </c>
      <c r="AJ82" s="920"/>
      <c r="AK82" s="280">
        <f>ROUND(AK78*$AD$124,2)</f>
        <v>1101.25</v>
      </c>
      <c r="AM82" s="125" t="s">
        <v>489</v>
      </c>
      <c r="AN82" s="238"/>
      <c r="AO82" s="132"/>
      <c r="AP82" t="s">
        <v>488</v>
      </c>
    </row>
    <row r="83" spans="1:51" ht="15.75" hidden="1" customHeight="1" thickTop="1" thickBot="1">
      <c r="J83" s="1162"/>
      <c r="K83" s="1162"/>
      <c r="P83" s="458" t="s">
        <v>490</v>
      </c>
      <c r="V83" s="398">
        <f>B81</f>
        <v>1.0453703703703705</v>
      </c>
      <c r="W83" s="278" t="s">
        <v>448</v>
      </c>
      <c r="X83" s="279"/>
      <c r="Y83" s="280">
        <f>ROUND(Y79*V83,2)</f>
        <v>13432.24</v>
      </c>
      <c r="AC83" s="458" t="s">
        <v>490</v>
      </c>
      <c r="AM83" s="125" t="s">
        <v>491</v>
      </c>
      <c r="AN83" s="238"/>
      <c r="AO83" s="132"/>
      <c r="AP83" t="s">
        <v>488</v>
      </c>
      <c r="AT83" s="290">
        <v>2022</v>
      </c>
      <c r="AU83" s="920"/>
      <c r="AV83" s="920" t="s">
        <v>62</v>
      </c>
      <c r="AW83" s="920" t="s">
        <v>465</v>
      </c>
    </row>
    <row r="84" spans="1:51" ht="21" hidden="1" customHeight="1" thickTop="1">
      <c r="P84" s="458"/>
      <c r="V84" s="458" t="s">
        <v>490</v>
      </c>
      <c r="AC84" s="458"/>
      <c r="AM84" s="125"/>
      <c r="AN84" s="238"/>
      <c r="AO84" s="132"/>
      <c r="AT84" s="178"/>
      <c r="AU84" s="178">
        <f>B73</f>
        <v>1.0205680705190989</v>
      </c>
      <c r="AV84" s="214"/>
      <c r="AW84" s="214"/>
    </row>
    <row r="85" spans="1:51" hidden="1">
      <c r="P85" s="458"/>
      <c r="V85" s="458"/>
      <c r="AC85" s="458"/>
      <c r="AT85" s="278" t="s">
        <v>28</v>
      </c>
      <c r="AU85" s="279"/>
      <c r="AV85" s="434" t="e">
        <f>ROUND(AV81*$AU$127,2)</f>
        <v>#REF!</v>
      </c>
      <c r="AW85" s="434" t="e">
        <f>ROUND(AW81*$AU$127,2)</f>
        <v>#REF!</v>
      </c>
    </row>
    <row r="86" spans="1:51" hidden="1">
      <c r="V86" s="458"/>
    </row>
    <row r="87" spans="1:51" ht="26.25" hidden="1" customHeight="1">
      <c r="F87" s="386"/>
      <c r="AT87" s="290">
        <v>2023</v>
      </c>
      <c r="AU87" s="920"/>
      <c r="AV87" s="920" t="s">
        <v>62</v>
      </c>
      <c r="AW87" s="921" t="s">
        <v>465</v>
      </c>
      <c r="AX87" s="1156" t="s">
        <v>492</v>
      </c>
      <c r="AY87" s="1156"/>
    </row>
    <row r="88" spans="1:51" hidden="1">
      <c r="AT88" s="178"/>
      <c r="AU88" s="178">
        <f>B77</f>
        <v>1.0364683301343569</v>
      </c>
      <c r="AV88" s="214"/>
      <c r="AW88" s="493"/>
      <c r="AX88" s="1156"/>
      <c r="AY88" s="1156"/>
    </row>
    <row r="89" spans="1:51" hidden="1">
      <c r="AT89" s="278" t="s">
        <v>28</v>
      </c>
      <c r="AU89" s="279"/>
      <c r="AV89" s="280" t="e">
        <f>ROUND(AV85*$AU$131,2)</f>
        <v>#REF!</v>
      </c>
      <c r="AW89" s="462" t="e">
        <f>ROUND(AW85*AU88,2)</f>
        <v>#REF!</v>
      </c>
      <c r="AX89" s="1156"/>
      <c r="AY89" s="1156"/>
    </row>
    <row r="90" spans="1:51" hidden="1">
      <c r="AT90" s="55"/>
      <c r="AU90" s="55"/>
      <c r="AV90" s="55"/>
      <c r="AW90" s="494"/>
      <c r="AX90" s="1156"/>
      <c r="AY90" s="1156"/>
    </row>
    <row r="91" spans="1:51" ht="15.75" hidden="1">
      <c r="G91" s="427"/>
      <c r="AT91" s="290">
        <v>2024</v>
      </c>
      <c r="AU91" s="920"/>
      <c r="AV91" s="920" t="s">
        <v>62</v>
      </c>
      <c r="AW91" s="921" t="s">
        <v>465</v>
      </c>
    </row>
    <row r="92" spans="1:51" hidden="1">
      <c r="V92" s="104"/>
      <c r="AT92" s="178"/>
      <c r="AU92" s="178">
        <f>B81</f>
        <v>1.0453703703703705</v>
      </c>
      <c r="AV92" s="214"/>
      <c r="AW92" s="493"/>
    </row>
    <row r="93" spans="1:51" ht="15.75" hidden="1">
      <c r="V93" s="352" t="s">
        <v>493</v>
      </c>
      <c r="W93" s="475"/>
      <c r="X93" s="125"/>
      <c r="Y93" s="124"/>
      <c r="Z93" s="125"/>
      <c r="AG93" s="347" t="s">
        <v>412</v>
      </c>
      <c r="AH93" s="347"/>
      <c r="AI93" s="347"/>
      <c r="AJ93" s="350"/>
      <c r="AK93" s="348" t="s">
        <v>413</v>
      </c>
      <c r="AT93" s="278" t="s">
        <v>28</v>
      </c>
      <c r="AU93" s="279"/>
      <c r="AV93" s="280" t="e">
        <f>ROUND(AV89*$AU$135,2)</f>
        <v>#REF!</v>
      </c>
      <c r="AW93" s="462" t="e">
        <f>ROUND(AW89*AU92,2)</f>
        <v>#REF!</v>
      </c>
    </row>
    <row r="94" spans="1:51" ht="15.75" hidden="1">
      <c r="V94" s="124"/>
      <c r="W94" s="124"/>
      <c r="X94" s="124"/>
      <c r="Y94" s="124"/>
      <c r="Z94" s="124"/>
      <c r="AG94" s="139" t="s">
        <v>378</v>
      </c>
      <c r="AH94" s="139" t="s">
        <v>379</v>
      </c>
      <c r="AI94" s="139" t="s">
        <v>380</v>
      </c>
      <c r="AJ94" s="920"/>
      <c r="AK94" s="228" t="s">
        <v>417</v>
      </c>
      <c r="AW94" s="458"/>
    </row>
    <row r="95" spans="1:51" ht="15.75" hidden="1">
      <c r="V95" s="125" t="s">
        <v>494</v>
      </c>
      <c r="W95" s="126">
        <v>180177.55</v>
      </c>
      <c r="X95" s="125" t="s">
        <v>495</v>
      </c>
      <c r="Y95" s="476"/>
      <c r="Z95" s="358">
        <v>231412.37</v>
      </c>
      <c r="AC95" s="290">
        <v>2023</v>
      </c>
      <c r="AD95" s="920"/>
      <c r="AE95" s="920"/>
      <c r="AF95" s="920"/>
      <c r="AG95" s="920"/>
      <c r="AH95" s="920"/>
      <c r="AI95" s="920"/>
      <c r="AJ95" s="920"/>
      <c r="AK95" s="920"/>
      <c r="AW95" s="458"/>
    </row>
    <row r="96" spans="1:51" ht="15.75" hidden="1">
      <c r="V96" s="125" t="s">
        <v>425</v>
      </c>
      <c r="W96" s="358">
        <v>17.5</v>
      </c>
      <c r="X96" s="125" t="s">
        <v>431</v>
      </c>
      <c r="Y96" s="476"/>
      <c r="Z96" s="126">
        <v>43</v>
      </c>
      <c r="AC96" s="178" t="s">
        <v>432</v>
      </c>
      <c r="AD96" s="399">
        <v>1.0364683301343569</v>
      </c>
      <c r="AE96" s="229"/>
      <c r="AF96" s="920"/>
      <c r="AG96" s="229"/>
      <c r="AH96" s="229"/>
      <c r="AI96" s="229"/>
      <c r="AJ96" s="920"/>
      <c r="AK96" s="229"/>
    </row>
    <row r="97" spans="1:68" ht="15.75" hidden="1">
      <c r="V97" s="125" t="s">
        <v>428</v>
      </c>
      <c r="W97" s="126">
        <f>W95/W96</f>
        <v>10295.859999999999</v>
      </c>
      <c r="X97" s="125" t="s">
        <v>428</v>
      </c>
      <c r="Y97" s="476"/>
      <c r="Z97" s="126">
        <f>2*Z95/Z96</f>
        <v>10763.366046511628</v>
      </c>
      <c r="AC97" s="278" t="s">
        <v>28</v>
      </c>
      <c r="AD97" s="279"/>
      <c r="AE97" s="280"/>
      <c r="AF97" s="920"/>
      <c r="AG97" s="280">
        <v>1263.47</v>
      </c>
      <c r="AH97" s="280">
        <v>5146.45</v>
      </c>
      <c r="AI97" s="280">
        <v>20450.509999999998</v>
      </c>
      <c r="AJ97" s="920"/>
      <c r="AK97" s="280">
        <v>1021.73</v>
      </c>
    </row>
    <row r="98" spans="1:68" hidden="1">
      <c r="V98" s="125" t="s">
        <v>496</v>
      </c>
      <c r="W98" s="126">
        <v>42515.600000000006</v>
      </c>
      <c r="X98" s="476"/>
      <c r="Y98" s="476"/>
      <c r="Z98" s="126"/>
    </row>
    <row r="99" spans="1:68" hidden="1">
      <c r="V99" s="125" t="s">
        <v>431</v>
      </c>
      <c r="W99" s="126">
        <v>7</v>
      </c>
      <c r="X99" s="476"/>
      <c r="Y99" s="476"/>
      <c r="Z99" s="126"/>
    </row>
    <row r="100" spans="1:68" hidden="1">
      <c r="V100" s="125" t="s">
        <v>428</v>
      </c>
      <c r="W100" s="126">
        <f>2*W98/W99</f>
        <v>12147.314285714287</v>
      </c>
      <c r="X100" s="476"/>
      <c r="Y100" s="476"/>
      <c r="Z100" s="476"/>
    </row>
    <row r="101" spans="1:68" hidden="1"/>
    <row r="104" spans="1:68" ht="15.75" thickBot="1">
      <c r="U104" s="449"/>
      <c r="V104" s="456" t="s">
        <v>448</v>
      </c>
      <c r="W104" s="461"/>
      <c r="X104" s="462">
        <f>ROUND(Y83*B81,2)</f>
        <v>14041.67</v>
      </c>
    </row>
    <row r="105" spans="1:68" ht="15.75" thickBot="1">
      <c r="A105" s="466" t="s">
        <v>497</v>
      </c>
      <c r="B105" s="467"/>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8"/>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row>
    <row r="106" spans="1:68" ht="15.75">
      <c r="X106" s="427"/>
      <c r="AE106" s="374"/>
      <c r="AN106" s="1157" t="s">
        <v>461</v>
      </c>
      <c r="AO106" s="1157"/>
      <c r="AP106" s="1157"/>
      <c r="AQ106" s="1157"/>
      <c r="AR106" s="1157"/>
    </row>
    <row r="107" spans="1:68" ht="15.75">
      <c r="A107" s="415" t="s">
        <v>498</v>
      </c>
      <c r="B107" s="416"/>
      <c r="C107" s="416"/>
      <c r="D107" s="416"/>
      <c r="E107" s="416"/>
      <c r="F107" s="416"/>
      <c r="G107" s="416"/>
      <c r="H107" s="416"/>
      <c r="O107" s="343" t="s">
        <v>407</v>
      </c>
      <c r="P107" s="344"/>
      <c r="Q107" s="344"/>
      <c r="V107" s="1158" t="s">
        <v>463</v>
      </c>
      <c r="W107" s="1158"/>
      <c r="X107" s="1158"/>
      <c r="Y107" s="1158"/>
      <c r="Z107" s="1158"/>
      <c r="AC107" s="343" t="s">
        <v>409</v>
      </c>
      <c r="AD107" s="343"/>
      <c r="AE107" s="343"/>
      <c r="AF107" s="343"/>
      <c r="AG107" s="343"/>
      <c r="AH107" s="342"/>
      <c r="AI107" s="342"/>
      <c r="AJ107" s="344"/>
      <c r="AK107" s="344"/>
      <c r="AL107" s="344"/>
      <c r="AN107" s="1157" t="s">
        <v>461</v>
      </c>
      <c r="AO107" s="1157"/>
      <c r="AP107" s="1157"/>
      <c r="AQ107" s="1157"/>
      <c r="AR107" s="1157"/>
    </row>
    <row r="108" spans="1:68" ht="15.75">
      <c r="A108" s="343" t="s">
        <v>405</v>
      </c>
      <c r="B108" s="343"/>
      <c r="C108" s="343"/>
      <c r="D108" s="343"/>
      <c r="E108" s="342"/>
      <c r="F108" s="342"/>
      <c r="G108" s="342"/>
      <c r="H108" s="342"/>
      <c r="O108" s="343" t="s">
        <v>464</v>
      </c>
      <c r="P108" s="344"/>
      <c r="Q108" s="344"/>
      <c r="V108" s="1158"/>
      <c r="W108" s="1158"/>
      <c r="X108" s="1158"/>
      <c r="Y108" s="1158"/>
      <c r="Z108" s="1158"/>
      <c r="AN108" s="1157"/>
      <c r="AO108" s="1157"/>
      <c r="AP108" s="1157"/>
      <c r="AQ108" s="1157"/>
      <c r="AR108" s="1157"/>
    </row>
    <row r="109" spans="1:68" ht="24.75">
      <c r="AE109" s="351" t="s">
        <v>411</v>
      </c>
      <c r="AF109" s="349"/>
      <c r="AG109" s="347" t="s">
        <v>412</v>
      </c>
      <c r="AH109" s="347"/>
      <c r="AI109" s="347"/>
      <c r="AJ109" s="350"/>
      <c r="AK109" s="348" t="s">
        <v>413</v>
      </c>
      <c r="AT109" s="15"/>
      <c r="AU109" s="15"/>
      <c r="AV109" s="139" t="s">
        <v>62</v>
      </c>
      <c r="AW109" s="139"/>
    </row>
    <row r="110" spans="1:68" ht="15.75">
      <c r="A110" s="139" t="s">
        <v>368</v>
      </c>
      <c r="B110" s="139"/>
      <c r="C110" s="139" t="s">
        <v>369</v>
      </c>
      <c r="D110" s="139" t="s">
        <v>370</v>
      </c>
      <c r="E110" s="139" t="s">
        <v>371</v>
      </c>
      <c r="F110" s="139" t="s">
        <v>372</v>
      </c>
      <c r="G110" s="139" t="s">
        <v>373</v>
      </c>
      <c r="H110" s="139" t="s">
        <v>374</v>
      </c>
      <c r="AA110" s="85"/>
      <c r="AB110" s="85"/>
      <c r="AC110" s="139" t="s">
        <v>376</v>
      </c>
      <c r="AD110" s="139"/>
      <c r="AE110" s="139" t="s">
        <v>377</v>
      </c>
      <c r="AF110" s="920"/>
      <c r="AG110" s="139" t="s">
        <v>378</v>
      </c>
      <c r="AH110" s="139" t="s">
        <v>379</v>
      </c>
      <c r="AI110" s="139" t="s">
        <v>380</v>
      </c>
      <c r="AJ110" s="920"/>
      <c r="AK110" s="228" t="s">
        <v>417</v>
      </c>
      <c r="AM110" s="352" t="s">
        <v>499</v>
      </c>
      <c r="AN110" s="238"/>
      <c r="AO110" s="126"/>
      <c r="AT110" s="290">
        <v>2018</v>
      </c>
      <c r="AU110" s="920"/>
      <c r="AV110" s="920"/>
      <c r="AW110" s="876"/>
    </row>
    <row r="111" spans="1:68" ht="15.75">
      <c r="A111" s="282">
        <v>2022</v>
      </c>
      <c r="B111" s="282"/>
      <c r="C111" s="282"/>
      <c r="D111" s="282"/>
      <c r="E111" s="282"/>
      <c r="F111" s="282"/>
      <c r="G111" s="282"/>
      <c r="H111" s="282"/>
      <c r="O111" s="282">
        <v>2022</v>
      </c>
      <c r="P111" s="282"/>
      <c r="Q111" s="282"/>
      <c r="W111" s="282">
        <v>2022</v>
      </c>
      <c r="X111" s="282"/>
      <c r="Y111" s="282"/>
      <c r="AA111" s="85"/>
      <c r="AB111" s="85"/>
      <c r="AC111" s="290">
        <v>2022</v>
      </c>
      <c r="AD111" s="920"/>
      <c r="AE111" s="920"/>
      <c r="AF111" s="920"/>
      <c r="AG111" s="920"/>
      <c r="AH111" s="920"/>
      <c r="AI111" s="920"/>
      <c r="AJ111" s="920"/>
      <c r="AK111" s="920"/>
      <c r="AM111" s="125" t="s">
        <v>424</v>
      </c>
      <c r="AN111" s="238"/>
      <c r="AO111" s="126">
        <v>26964000</v>
      </c>
      <c r="AT111" s="177"/>
      <c r="AU111" s="177"/>
      <c r="AV111" s="139"/>
      <c r="AW111" s="139"/>
    </row>
    <row r="112" spans="1:68" ht="15.75">
      <c r="A112" s="278" t="s">
        <v>28</v>
      </c>
      <c r="B112" s="279"/>
      <c r="C112" s="284">
        <v>27504</v>
      </c>
      <c r="D112" s="284">
        <v>17113.599999999999</v>
      </c>
      <c r="E112" s="284">
        <v>12224</v>
      </c>
      <c r="F112" s="284">
        <v>4889.6000000000004</v>
      </c>
      <c r="G112" s="284">
        <f>$E$112*G113</f>
        <v>2444.7999999999993</v>
      </c>
      <c r="H112" s="284">
        <f>$E$112*H113</f>
        <v>1528</v>
      </c>
      <c r="J112" s="352" t="s">
        <v>500</v>
      </c>
      <c r="K112" s="475"/>
      <c r="L112" s="475"/>
      <c r="O112" s="178"/>
      <c r="P112" s="399"/>
      <c r="Q112" s="139"/>
      <c r="S112" s="127" t="s">
        <v>500</v>
      </c>
      <c r="T112" s="128"/>
      <c r="W112" s="278" t="s">
        <v>442</v>
      </c>
      <c r="X112" s="279"/>
      <c r="Y112" s="280">
        <f>W140</f>
        <v>15060.470588235294</v>
      </c>
      <c r="AA112" s="85"/>
      <c r="AB112" s="85"/>
      <c r="AC112" s="177"/>
      <c r="AD112" s="178"/>
      <c r="AE112" s="229"/>
      <c r="AF112" s="920"/>
      <c r="AG112" s="229"/>
      <c r="AH112" s="229"/>
      <c r="AI112" s="229"/>
      <c r="AJ112" s="920"/>
      <c r="AK112" s="229"/>
      <c r="AM112" s="125" t="s">
        <v>413</v>
      </c>
      <c r="AN112" s="238"/>
      <c r="AO112" s="126">
        <f>30332000-377533</f>
        <v>29954467</v>
      </c>
      <c r="AT112" s="278" t="s">
        <v>28</v>
      </c>
      <c r="AU112" s="279"/>
      <c r="AV112" s="280">
        <v>153</v>
      </c>
      <c r="AW112" s="142"/>
    </row>
    <row r="113" spans="1:49" ht="15.75">
      <c r="A113" s="104" t="s">
        <v>384</v>
      </c>
      <c r="B113" s="474"/>
      <c r="C113" s="237">
        <v>2.25</v>
      </c>
      <c r="D113" s="237">
        <v>1.4000000000000001</v>
      </c>
      <c r="E113" s="237">
        <v>1</v>
      </c>
      <c r="F113" s="237">
        <v>0.39999999999999991</v>
      </c>
      <c r="G113" s="237">
        <v>0.19999999999999996</v>
      </c>
      <c r="H113" s="237">
        <v>0.125</v>
      </c>
      <c r="J113" s="125" t="s">
        <v>501</v>
      </c>
      <c r="K113" s="124"/>
      <c r="L113" s="126">
        <v>45764000</v>
      </c>
      <c r="O113" s="278" t="s">
        <v>28</v>
      </c>
      <c r="P113" s="279"/>
      <c r="Q113" s="280">
        <f>T116</f>
        <v>34302</v>
      </c>
      <c r="S113" s="124"/>
      <c r="T113" s="124"/>
      <c r="W113" s="278" t="s">
        <v>445</v>
      </c>
      <c r="X113" s="279"/>
      <c r="Y113" s="280">
        <f>Z140</f>
        <v>13975.453581661892</v>
      </c>
      <c r="AA113" s="85"/>
      <c r="AB113" s="85"/>
      <c r="AC113" s="278" t="s">
        <v>28</v>
      </c>
      <c r="AD113" s="279"/>
      <c r="AE113" s="280">
        <f>AO121</f>
        <v>12494.902687673772</v>
      </c>
      <c r="AF113" s="920"/>
      <c r="AG113" s="280">
        <f>AO124</f>
        <v>1167.6510050234599</v>
      </c>
      <c r="AH113" s="280">
        <f>AO125</f>
        <v>4994.0050476905699</v>
      </c>
      <c r="AI113" s="280">
        <f>AO126</f>
        <v>21272.5299474938</v>
      </c>
      <c r="AJ113" s="920"/>
      <c r="AK113" s="396">
        <f>AO122</f>
        <v>987.16276693909833</v>
      </c>
      <c r="AM113" s="125" t="s">
        <v>469</v>
      </c>
      <c r="AN113" s="238"/>
      <c r="AO113" s="126">
        <f>34774000+377533</f>
        <v>35151533</v>
      </c>
      <c r="AT113" s="214"/>
      <c r="AU113" s="214"/>
      <c r="AV113" s="214"/>
      <c r="AW113" s="214"/>
    </row>
    <row r="114" spans="1:49" ht="15.75">
      <c r="J114" s="125" t="s">
        <v>470</v>
      </c>
      <c r="K114" s="236"/>
      <c r="L114" s="126">
        <f>L113-T114-W138-W141-Z138</f>
        <v>43052393.240000002</v>
      </c>
      <c r="S114" s="125" t="s">
        <v>502</v>
      </c>
      <c r="T114" s="132">
        <f>1351463+21040</f>
        <v>1372503</v>
      </c>
      <c r="W114" s="278" t="s">
        <v>448</v>
      </c>
      <c r="X114" s="279"/>
      <c r="Y114" s="280">
        <f>W143</f>
        <v>15369.871428571429</v>
      </c>
      <c r="AA114" s="85"/>
      <c r="AB114" s="85"/>
      <c r="AM114" s="125"/>
      <c r="AN114" s="238"/>
      <c r="AO114" s="126"/>
      <c r="AT114" s="290">
        <v>2019</v>
      </c>
      <c r="AU114" s="920"/>
      <c r="AV114" s="920"/>
      <c r="AW114" s="876"/>
    </row>
    <row r="115" spans="1:49" ht="16.5" thickBot="1">
      <c r="A115" s="282">
        <v>2023</v>
      </c>
      <c r="B115" s="282"/>
      <c r="C115" s="282"/>
      <c r="D115" s="282"/>
      <c r="E115" s="282"/>
      <c r="F115" s="282"/>
      <c r="G115" s="282"/>
      <c r="H115" s="282"/>
      <c r="J115" s="125" t="s">
        <v>503</v>
      </c>
      <c r="K115" s="238"/>
      <c r="L115" s="126">
        <v>3522</v>
      </c>
      <c r="O115" s="282">
        <v>2023</v>
      </c>
      <c r="P115" s="282"/>
      <c r="Q115" s="282"/>
      <c r="S115" s="125" t="s">
        <v>504</v>
      </c>
      <c r="T115" s="132">
        <v>29.5</v>
      </c>
      <c r="W115" s="282">
        <v>2023</v>
      </c>
      <c r="X115" s="282"/>
      <c r="Y115" s="282"/>
      <c r="AC115" s="290">
        <v>2023</v>
      </c>
      <c r="AD115" s="920"/>
      <c r="AE115" s="920"/>
      <c r="AF115" s="920"/>
      <c r="AG115" s="920"/>
      <c r="AH115" s="920"/>
      <c r="AI115" s="920"/>
      <c r="AJ115" s="920"/>
      <c r="AK115" s="920"/>
      <c r="AM115" s="125"/>
      <c r="AN115" s="238"/>
      <c r="AO115" s="132"/>
      <c r="AT115" s="178" t="str">
        <f>A20</f>
        <v>Indexförändring 2018</v>
      </c>
      <c r="AU115" s="178">
        <f>B20</f>
        <v>0.98545935228023795</v>
      </c>
      <c r="AV115" s="214"/>
      <c r="AW115" s="214"/>
    </row>
    <row r="116" spans="1:49" ht="17.25" thickTop="1" thickBot="1">
      <c r="A116" s="346" t="s">
        <v>479</v>
      </c>
      <c r="B116" s="398">
        <f>(G116/E116)</f>
        <v>1.0364683301343569</v>
      </c>
      <c r="C116" s="139"/>
      <c r="D116" s="263" t="s">
        <v>452</v>
      </c>
      <c r="E116" s="345">
        <v>104.2</v>
      </c>
      <c r="F116" s="263" t="s">
        <v>480</v>
      </c>
      <c r="G116" s="400">
        <v>108</v>
      </c>
      <c r="H116" s="428"/>
      <c r="I116" s="474"/>
      <c r="J116" s="125" t="s">
        <v>505</v>
      </c>
      <c r="K116" s="238"/>
      <c r="L116" s="132">
        <f>ROUND((L114)/L115,0)</f>
        <v>12224</v>
      </c>
      <c r="O116" s="178" t="str">
        <f>A116</f>
        <v>Indexförändring 2022</v>
      </c>
      <c r="P116" s="399">
        <f>B116</f>
        <v>1.0364683301343569</v>
      </c>
      <c r="Q116" s="139"/>
      <c r="S116" s="125" t="s">
        <v>506</v>
      </c>
      <c r="T116" s="132">
        <f>ROUND((T114/T115)-L116,0)</f>
        <v>34302</v>
      </c>
      <c r="W116" s="278" t="s">
        <v>442</v>
      </c>
      <c r="X116" s="279"/>
      <c r="Y116" s="280">
        <f>Y112*V118</f>
        <v>15609.700801625831</v>
      </c>
      <c r="AA116" s="85"/>
      <c r="AB116" s="85"/>
      <c r="AC116" s="178" t="s">
        <v>432</v>
      </c>
      <c r="AD116" s="399">
        <f>B116</f>
        <v>1.0364683301343569</v>
      </c>
      <c r="AE116" s="229"/>
      <c r="AF116" s="920"/>
      <c r="AG116" s="229"/>
      <c r="AH116" s="229"/>
      <c r="AI116" s="229"/>
      <c r="AJ116" s="920"/>
      <c r="AK116" s="229"/>
      <c r="AM116" s="125" t="s">
        <v>507</v>
      </c>
      <c r="AN116" s="238"/>
      <c r="AO116" s="126">
        <v>2158</v>
      </c>
      <c r="AT116" s="278" t="s">
        <v>28</v>
      </c>
      <c r="AU116" s="279"/>
      <c r="AV116" s="280">
        <f>AV112*AU115</f>
        <v>150.77528089887642</v>
      </c>
      <c r="AW116" s="142"/>
    </row>
    <row r="117" spans="1:49" ht="17.25" thickTop="1" thickBot="1">
      <c r="A117" s="278" t="s">
        <v>28</v>
      </c>
      <c r="B117" s="284"/>
      <c r="C117" s="284">
        <f t="shared" ref="C117:H117" si="11">C112*$B$116</f>
        <v>28507.024952015352</v>
      </c>
      <c r="D117" s="284">
        <f t="shared" si="11"/>
        <v>17737.70441458733</v>
      </c>
      <c r="E117" s="284">
        <f t="shared" si="11"/>
        <v>12669.788867562378</v>
      </c>
      <c r="F117" s="284">
        <f t="shared" si="11"/>
        <v>5067.9155470249516</v>
      </c>
      <c r="G117" s="284">
        <f t="shared" si="11"/>
        <v>2533.9577735124749</v>
      </c>
      <c r="H117" s="284">
        <f t="shared" si="11"/>
        <v>1583.7236084452973</v>
      </c>
      <c r="O117" s="278" t="s">
        <v>28</v>
      </c>
      <c r="P117" s="279"/>
      <c r="Q117" s="280">
        <f>P116*Q113</f>
        <v>35552.936660268708</v>
      </c>
      <c r="V117" s="178" t="s">
        <v>430</v>
      </c>
      <c r="W117" s="278" t="s">
        <v>445</v>
      </c>
      <c r="X117" s="279"/>
      <c r="Y117" s="280">
        <f>Y113*V118</f>
        <v>14485.115036655317</v>
      </c>
      <c r="AA117" s="85"/>
      <c r="AB117" s="85"/>
      <c r="AC117" s="278" t="s">
        <v>28</v>
      </c>
      <c r="AD117" s="279"/>
      <c r="AE117" s="280">
        <f>AE113*$AD$116</f>
        <v>12950.570923884523</v>
      </c>
      <c r="AF117" s="920"/>
      <c r="AG117" s="280">
        <f>AG113*$AD$116</f>
        <v>1210.2332873563691</v>
      </c>
      <c r="AH117" s="280">
        <f>AH113*$AD$116</f>
        <v>5176.1280724623948</v>
      </c>
      <c r="AI117" s="280">
        <f>AI113*$AD$116</f>
        <v>22048.303592411998</v>
      </c>
      <c r="AJ117" s="920"/>
      <c r="AK117" s="280">
        <f>AK113*$AD$116</f>
        <v>1023.1629446201786</v>
      </c>
      <c r="AM117" s="125" t="s">
        <v>508</v>
      </c>
      <c r="AN117" s="238"/>
      <c r="AO117" s="126">
        <v>30344</v>
      </c>
    </row>
    <row r="118" spans="1:49" ht="17.25" thickTop="1" thickBot="1">
      <c r="A118" s="139"/>
      <c r="B118" s="139"/>
      <c r="C118" s="139"/>
      <c r="D118" s="139"/>
      <c r="E118" s="139"/>
      <c r="F118" s="139"/>
      <c r="G118" s="139"/>
      <c r="H118" s="139"/>
      <c r="O118" s="104"/>
      <c r="P118" s="104"/>
      <c r="Q118" s="104"/>
      <c r="S118" s="465"/>
      <c r="V118" s="398">
        <f>B116</f>
        <v>1.0364683301343569</v>
      </c>
      <c r="W118" s="278" t="s">
        <v>448</v>
      </c>
      <c r="X118" s="279"/>
      <c r="Y118" s="280">
        <f>Y114*V118</f>
        <v>15930.384973951192</v>
      </c>
      <c r="AA118" s="93"/>
      <c r="AB118" s="93"/>
      <c r="AM118" s="125" t="s">
        <v>509</v>
      </c>
      <c r="AN118" s="238"/>
      <c r="AO118" s="126"/>
      <c r="AT118" s="290">
        <v>2020</v>
      </c>
      <c r="AU118" s="920"/>
      <c r="AV118" s="920"/>
      <c r="AW118" s="876"/>
    </row>
    <row r="119" spans="1:49" ht="17.25" thickTop="1" thickBot="1">
      <c r="A119" s="282">
        <v>2024</v>
      </c>
      <c r="B119" s="282"/>
      <c r="C119" s="282" t="s">
        <v>369</v>
      </c>
      <c r="D119" s="282" t="s">
        <v>370</v>
      </c>
      <c r="E119" s="282" t="s">
        <v>371</v>
      </c>
      <c r="F119" s="282" t="s">
        <v>372</v>
      </c>
      <c r="G119" s="282" t="s">
        <v>373</v>
      </c>
      <c r="H119" s="282" t="s">
        <v>374</v>
      </c>
      <c r="O119" s="282">
        <v>2024</v>
      </c>
      <c r="P119" s="282"/>
      <c r="Q119" s="282"/>
      <c r="W119" s="282">
        <v>2024</v>
      </c>
      <c r="X119" s="282"/>
      <c r="Y119" s="282"/>
      <c r="AC119" s="290">
        <v>2024</v>
      </c>
      <c r="AD119" s="920"/>
      <c r="AE119" s="920"/>
      <c r="AF119" s="920"/>
      <c r="AG119" s="920"/>
      <c r="AH119" s="920"/>
      <c r="AI119" s="920"/>
      <c r="AJ119" s="920"/>
      <c r="AK119" s="920"/>
      <c r="AM119" s="125"/>
      <c r="AN119" s="238"/>
      <c r="AO119" s="132"/>
      <c r="AT119" s="178" t="str">
        <f>A24</f>
        <v>Indexförändring 2019</v>
      </c>
      <c r="AU119" s="178">
        <f>B24</f>
        <v>1.0090543259557343</v>
      </c>
      <c r="AV119" s="214"/>
      <c r="AW119" s="214"/>
    </row>
    <row r="120" spans="1:49" ht="17.25" thickTop="1" thickBot="1">
      <c r="A120" s="346" t="s">
        <v>485</v>
      </c>
      <c r="B120" s="473">
        <f>(G120/E120)</f>
        <v>1.0425925925925925</v>
      </c>
      <c r="C120" s="139"/>
      <c r="D120" s="263" t="s">
        <v>480</v>
      </c>
      <c r="E120" s="345">
        <v>108</v>
      </c>
      <c r="F120" s="263" t="s">
        <v>486</v>
      </c>
      <c r="G120" s="400">
        <v>112.6</v>
      </c>
      <c r="H120" s="428"/>
      <c r="J120" s="793">
        <f>G124/E124</f>
        <v>1.0550621669626998</v>
      </c>
      <c r="O120" s="178" t="str">
        <f>A120</f>
        <v>Indexförändring 2023</v>
      </c>
      <c r="P120" s="399">
        <f>B120</f>
        <v>1.0425925925925925</v>
      </c>
      <c r="Q120" s="139"/>
      <c r="T120" s="353"/>
      <c r="W120" s="278" t="s">
        <v>442</v>
      </c>
      <c r="X120" s="279"/>
      <c r="Y120" s="280">
        <f>Y116*V122</f>
        <v>16274.558428361745</v>
      </c>
      <c r="AC120" s="178" t="s">
        <v>432</v>
      </c>
      <c r="AD120" s="399">
        <f>B120</f>
        <v>1.0425925925925925</v>
      </c>
      <c r="AE120" s="229"/>
      <c r="AF120" s="920"/>
      <c r="AG120" s="229"/>
      <c r="AH120" s="229"/>
      <c r="AI120" s="229"/>
      <c r="AJ120" s="920"/>
      <c r="AK120" s="229"/>
      <c r="AM120" s="125"/>
      <c r="AN120" s="238"/>
      <c r="AO120" s="132"/>
      <c r="AT120" s="278" t="s">
        <v>28</v>
      </c>
      <c r="AU120" s="279"/>
      <c r="AV120" s="280">
        <f>AV116*AU119</f>
        <v>152.14044943820224</v>
      </c>
      <c r="AW120" s="142"/>
    </row>
    <row r="121" spans="1:49" ht="17.25" thickTop="1" thickBot="1">
      <c r="A121" s="278" t="s">
        <v>28</v>
      </c>
      <c r="B121" s="284"/>
      <c r="C121" s="284">
        <f>C117*$B$120</f>
        <v>29721.213051823412</v>
      </c>
      <c r="D121" s="284">
        <f t="shared" ref="D121:H121" si="12">D117*$B$120</f>
        <v>18493.199232245679</v>
      </c>
      <c r="E121" s="284">
        <f t="shared" si="12"/>
        <v>13209.428023032626</v>
      </c>
      <c r="F121" s="284">
        <f t="shared" si="12"/>
        <v>5283.7712092130514</v>
      </c>
      <c r="G121" s="284">
        <f t="shared" si="12"/>
        <v>2641.8856046065243</v>
      </c>
      <c r="H121" s="284">
        <f t="shared" si="12"/>
        <v>1651.1785028790782</v>
      </c>
      <c r="O121" s="278" t="s">
        <v>28</v>
      </c>
      <c r="P121" s="279"/>
      <c r="Q121" s="280">
        <f>P120*Q117</f>
        <v>37067.22840690978</v>
      </c>
      <c r="T121" s="353">
        <f>T114/T115</f>
        <v>46525.52542372881</v>
      </c>
      <c r="V121" s="178" t="s">
        <v>430</v>
      </c>
      <c r="W121" s="278" t="s">
        <v>445</v>
      </c>
      <c r="X121" s="279"/>
      <c r="Y121" s="280">
        <f>Y117*V122</f>
        <v>15102.073640068413</v>
      </c>
      <c r="AC121" s="278" t="s">
        <v>28</v>
      </c>
      <c r="AD121" s="279"/>
      <c r="AE121" s="280">
        <f>AE117*$AD$120</f>
        <v>13502.169315087011</v>
      </c>
      <c r="AF121" s="920"/>
      <c r="AG121" s="280">
        <f>AG117*$AD$120</f>
        <v>1261.7802607067329</v>
      </c>
      <c r="AH121" s="280">
        <f>AH117*$AD$120</f>
        <v>5396.5927866598668</v>
      </c>
      <c r="AI121" s="280">
        <f>AI117*$AD$120</f>
        <v>22987.398004681396</v>
      </c>
      <c r="AJ121" s="920"/>
      <c r="AK121" s="280">
        <f>AK117*$AD$120</f>
        <v>1066.7421070762232</v>
      </c>
      <c r="AM121" s="352" t="s">
        <v>481</v>
      </c>
      <c r="AN121" s="238"/>
      <c r="AO121" s="132">
        <f>AO111/AO116</f>
        <v>12494.902687673772</v>
      </c>
    </row>
    <row r="122" spans="1:49" ht="15.75">
      <c r="T122" s="353">
        <f>T121-L116</f>
        <v>34301.52542372881</v>
      </c>
      <c r="V122" s="398">
        <f>B120</f>
        <v>1.0425925925925925</v>
      </c>
      <c r="W122" s="278" t="s">
        <v>448</v>
      </c>
      <c r="X122" s="279"/>
      <c r="Y122" s="280">
        <f>Y118*V122</f>
        <v>16608.901370989854</v>
      </c>
      <c r="AM122" s="352" t="s">
        <v>482</v>
      </c>
      <c r="AN122" s="238"/>
      <c r="AO122" s="132">
        <f>AO112/AO117</f>
        <v>987.16276693909833</v>
      </c>
      <c r="AT122" s="290">
        <v>2021</v>
      </c>
      <c r="AU122" s="920"/>
      <c r="AV122" s="920"/>
      <c r="AW122" s="876"/>
    </row>
    <row r="123" spans="1:49" ht="17.25" customHeight="1">
      <c r="A123" s="282">
        <v>2025</v>
      </c>
      <c r="B123" s="282"/>
      <c r="C123" s="282" t="s">
        <v>369</v>
      </c>
      <c r="D123" s="282" t="s">
        <v>370</v>
      </c>
      <c r="E123" s="282" t="s">
        <v>371</v>
      </c>
      <c r="F123" s="282" t="s">
        <v>372</v>
      </c>
      <c r="G123" s="282" t="s">
        <v>373</v>
      </c>
      <c r="H123" s="282" t="s">
        <v>374</v>
      </c>
      <c r="J123" s="1155" t="s">
        <v>510</v>
      </c>
      <c r="K123" s="1155"/>
      <c r="L123" s="1155"/>
      <c r="O123" s="282">
        <v>2025</v>
      </c>
      <c r="P123" s="282"/>
      <c r="Q123" s="282"/>
      <c r="W123" s="282">
        <v>2025</v>
      </c>
      <c r="X123" s="282"/>
      <c r="Y123" s="282"/>
      <c r="AC123" s="290">
        <v>2025</v>
      </c>
      <c r="AD123" s="920"/>
      <c r="AE123" s="920"/>
      <c r="AF123" s="920"/>
      <c r="AG123" s="920"/>
      <c r="AH123" s="920"/>
      <c r="AI123" s="920"/>
      <c r="AJ123" s="920"/>
      <c r="AK123" s="920"/>
      <c r="AM123" s="352" t="s">
        <v>484</v>
      </c>
      <c r="AN123" s="238"/>
      <c r="AO123" s="132"/>
      <c r="AT123" s="178"/>
      <c r="AU123" s="178">
        <f>B48</f>
        <v>1.0179461615154537</v>
      </c>
      <c r="AV123" s="214"/>
      <c r="AW123" s="214"/>
    </row>
    <row r="124" spans="1:49" ht="15.75">
      <c r="A124" s="346" t="s">
        <v>511</v>
      </c>
      <c r="B124" s="451">
        <f>(G124/E124)</f>
        <v>1.0550621669626998</v>
      </c>
      <c r="C124" s="139"/>
      <c r="D124" s="263" t="s">
        <v>486</v>
      </c>
      <c r="E124" s="345">
        <v>112.6</v>
      </c>
      <c r="F124" s="263" t="s">
        <v>512</v>
      </c>
      <c r="G124" s="455">
        <v>118.8</v>
      </c>
      <c r="H124" s="428"/>
      <c r="J124" s="1155"/>
      <c r="K124" s="1155"/>
      <c r="L124" s="1155"/>
      <c r="O124" s="178" t="str">
        <f>A124</f>
        <v>Indexförändring 2024</v>
      </c>
      <c r="P124" s="399">
        <f>B124</f>
        <v>1.0550621669626998</v>
      </c>
      <c r="Q124" s="139"/>
      <c r="W124" s="278" t="s">
        <v>442</v>
      </c>
      <c r="X124" s="279"/>
      <c r="Y124" s="280">
        <f>ROUND(Y120*V126,2)</f>
        <v>17170.669999999998</v>
      </c>
      <c r="AC124" s="178" t="s">
        <v>432</v>
      </c>
      <c r="AD124" s="399">
        <f>B124</f>
        <v>1.0550621669626998</v>
      </c>
      <c r="AE124" s="229"/>
      <c r="AF124" s="920"/>
      <c r="AG124" s="229"/>
      <c r="AH124" s="229"/>
      <c r="AI124" s="229"/>
      <c r="AJ124" s="920"/>
      <c r="AK124" s="229"/>
      <c r="AM124" s="125" t="s">
        <v>487</v>
      </c>
      <c r="AN124" s="238"/>
      <c r="AO124" s="132">
        <v>1167.6510050234599</v>
      </c>
      <c r="AP124" t="s">
        <v>488</v>
      </c>
      <c r="AT124" s="278" t="s">
        <v>28</v>
      </c>
      <c r="AU124" s="279"/>
      <c r="AV124" s="280">
        <f>AV120*$AU$123</f>
        <v>154.87078651685394</v>
      </c>
      <c r="AW124" s="142"/>
    </row>
    <row r="125" spans="1:49" ht="15.75">
      <c r="A125" s="278" t="s">
        <v>28</v>
      </c>
      <c r="B125" s="284"/>
      <c r="C125" s="284">
        <f>ROUND(C121*$B$124,2)</f>
        <v>31357.73</v>
      </c>
      <c r="D125" s="284">
        <f t="shared" ref="D125:F125" si="13">ROUND(D121*$B$124,2)</f>
        <v>19511.47</v>
      </c>
      <c r="E125" s="284">
        <f t="shared" si="13"/>
        <v>13936.77</v>
      </c>
      <c r="F125" s="284">
        <f t="shared" si="13"/>
        <v>5574.71</v>
      </c>
      <c r="G125" s="284">
        <f>ROUND(G121*$B$124,2)</f>
        <v>2787.35</v>
      </c>
      <c r="H125" s="284">
        <f>ROUND(H121*$B$124,2)</f>
        <v>1742.1</v>
      </c>
      <c r="J125" s="1155"/>
      <c r="K125" s="1155"/>
      <c r="L125" s="1155"/>
      <c r="O125" s="278" t="s">
        <v>28</v>
      </c>
      <c r="P125" s="279"/>
      <c r="Q125" s="280">
        <f>ROUND(P124*Q121,2)</f>
        <v>39108.230000000003</v>
      </c>
      <c r="V125" s="178" t="s">
        <v>430</v>
      </c>
      <c r="W125" s="278" t="s">
        <v>445</v>
      </c>
      <c r="X125" s="279"/>
      <c r="Y125" s="280">
        <f>ROUND(Y121*V126,2)</f>
        <v>15933.63</v>
      </c>
      <c r="AC125" s="278" t="s">
        <v>28</v>
      </c>
      <c r="AD125" s="279"/>
      <c r="AE125" s="280">
        <f>ROUND(AE121*$AD$124,2)</f>
        <v>14245.63</v>
      </c>
      <c r="AF125" s="920"/>
      <c r="AG125" s="280">
        <f>ROUND(AG121*$AD$124,2)</f>
        <v>1331.26</v>
      </c>
      <c r="AH125" s="280">
        <f>ROUND(AH121*$AD$124,2)</f>
        <v>5693.74</v>
      </c>
      <c r="AI125" s="280">
        <f>ROUND(AI121*$AD$124,2)</f>
        <v>24253.13</v>
      </c>
      <c r="AJ125" s="920"/>
      <c r="AK125" s="280">
        <f>ROUND(AK121*$AD$124,2)</f>
        <v>1125.48</v>
      </c>
      <c r="AM125" s="125" t="s">
        <v>489</v>
      </c>
      <c r="AN125" s="238"/>
      <c r="AO125" s="132">
        <v>4994.0050476905699</v>
      </c>
      <c r="AP125" t="s">
        <v>488</v>
      </c>
    </row>
    <row r="126" spans="1:49" ht="17.25" customHeight="1">
      <c r="J126" s="1155"/>
      <c r="K126" s="1155"/>
      <c r="L126" s="1155"/>
      <c r="P126" s="458" t="s">
        <v>490</v>
      </c>
      <c r="V126" s="398">
        <f>B124</f>
        <v>1.0550621669626998</v>
      </c>
      <c r="W126" s="278" t="s">
        <v>448</v>
      </c>
      <c r="X126" s="279"/>
      <c r="Y126" s="280">
        <f>ROUND(Y122*V126,2)</f>
        <v>17523.419999999998</v>
      </c>
      <c r="AC126" s="458" t="s">
        <v>490</v>
      </c>
      <c r="AM126" s="125" t="s">
        <v>491</v>
      </c>
      <c r="AN126" s="238"/>
      <c r="AO126" s="132">
        <v>21272.5299474938</v>
      </c>
      <c r="AP126" t="s">
        <v>488</v>
      </c>
      <c r="AT126" s="290">
        <v>2022</v>
      </c>
      <c r="AU126" s="920"/>
      <c r="AV126" s="920" t="s">
        <v>62</v>
      </c>
      <c r="AW126" s="876"/>
    </row>
    <row r="127" spans="1:49">
      <c r="J127" s="1155"/>
      <c r="K127" s="1155"/>
      <c r="L127" s="1155"/>
      <c r="P127" s="458"/>
      <c r="V127" s="458" t="s">
        <v>490</v>
      </c>
      <c r="AC127" s="458"/>
      <c r="AM127" s="125"/>
      <c r="AN127" s="238"/>
      <c r="AO127" s="132"/>
      <c r="AT127" s="178"/>
      <c r="AU127" s="178">
        <v>1.0206</v>
      </c>
      <c r="AV127" s="214"/>
      <c r="AW127" s="214"/>
    </row>
    <row r="128" spans="1:49">
      <c r="J128" s="1155"/>
      <c r="K128" s="1155"/>
      <c r="L128" s="1155"/>
      <c r="P128" s="458"/>
      <c r="V128" s="458"/>
      <c r="AC128" s="458"/>
      <c r="AT128" s="278" t="s">
        <v>28</v>
      </c>
      <c r="AU128" s="279"/>
      <c r="AV128" s="434">
        <f>AV124*$AU$127</f>
        <v>158.06112471910112</v>
      </c>
      <c r="AW128" s="748"/>
    </row>
    <row r="129" spans="5:51" ht="15" customHeight="1">
      <c r="J129" s="1155"/>
      <c r="K129" s="1155"/>
      <c r="L129" s="1155"/>
      <c r="V129" s="458"/>
    </row>
    <row r="130" spans="5:51" ht="15.75">
      <c r="E130" s="435"/>
      <c r="F130" s="435"/>
      <c r="G130" s="435"/>
      <c r="J130" s="1155"/>
      <c r="K130" s="1155"/>
      <c r="L130" s="1155"/>
      <c r="AT130" s="290">
        <v>2023</v>
      </c>
      <c r="AU130" s="920"/>
      <c r="AV130" s="920" t="s">
        <v>62</v>
      </c>
      <c r="AW130" s="876"/>
      <c r="AX130" s="769"/>
      <c r="AY130" s="769"/>
    </row>
    <row r="131" spans="5:51">
      <c r="E131" s="435"/>
      <c r="F131" s="435"/>
      <c r="G131" s="435"/>
      <c r="J131" s="1155"/>
      <c r="K131" s="1155"/>
      <c r="L131" s="1155"/>
      <c r="AT131" s="178"/>
      <c r="AU131" s="178">
        <f>B116</f>
        <v>1.0364683301343569</v>
      </c>
      <c r="AV131" s="214"/>
      <c r="AW131" s="214"/>
      <c r="AX131" s="769"/>
      <c r="AY131" s="769"/>
    </row>
    <row r="132" spans="5:51">
      <c r="E132" s="435"/>
      <c r="F132" s="435"/>
      <c r="G132" s="435"/>
      <c r="AT132" s="278" t="s">
        <v>28</v>
      </c>
      <c r="AU132" s="279"/>
      <c r="AV132" s="280">
        <f>AV128*$AU$131</f>
        <v>163.82534999676506</v>
      </c>
      <c r="AW132" s="142"/>
      <c r="AX132" s="769"/>
      <c r="AY132" s="769"/>
    </row>
    <row r="133" spans="5:51">
      <c r="AT133" s="55"/>
      <c r="AU133" s="55"/>
      <c r="AV133" s="55"/>
      <c r="AW133" s="55"/>
      <c r="AX133" s="769"/>
      <c r="AY133" s="769"/>
    </row>
    <row r="134" spans="5:51" ht="15.75">
      <c r="G134" s="427"/>
      <c r="AT134" s="290">
        <v>2024</v>
      </c>
      <c r="AU134" s="920"/>
      <c r="AV134" s="920" t="s">
        <v>62</v>
      </c>
      <c r="AW134" s="876"/>
    </row>
    <row r="135" spans="5:51">
      <c r="V135" s="104"/>
      <c r="AT135" s="178"/>
      <c r="AU135" s="178">
        <f>B120</f>
        <v>1.0425925925925925</v>
      </c>
      <c r="AV135" s="214"/>
      <c r="AW135" s="214"/>
    </row>
    <row r="136" spans="5:51" ht="15.75">
      <c r="V136" s="352" t="s">
        <v>513</v>
      </c>
      <c r="W136" s="475"/>
      <c r="X136" s="125"/>
      <c r="Y136" s="124"/>
      <c r="Z136" s="125"/>
      <c r="AG136" s="347"/>
      <c r="AH136" s="347"/>
      <c r="AI136" s="347"/>
      <c r="AJ136" s="349"/>
      <c r="AK136" s="348"/>
      <c r="AT136" s="278" t="s">
        <v>28</v>
      </c>
      <c r="AU136" s="279"/>
      <c r="AV136" s="280">
        <f>AV132*$AU$135</f>
        <v>170.80309638551614</v>
      </c>
      <c r="AW136" s="142"/>
    </row>
    <row r="137" spans="5:51" ht="15.75">
      <c r="V137" s="124"/>
      <c r="W137" s="124"/>
      <c r="X137" s="124"/>
      <c r="Y137" s="124"/>
      <c r="Z137" s="124"/>
      <c r="AG137" s="139"/>
      <c r="AH137" s="139"/>
      <c r="AI137" s="139"/>
      <c r="AJ137" s="876"/>
      <c r="AK137" s="228"/>
      <c r="AT137" s="290">
        <v>2025</v>
      </c>
      <c r="AU137" s="920"/>
      <c r="AV137" s="920" t="s">
        <v>62</v>
      </c>
    </row>
    <row r="138" spans="5:51" ht="15.75">
      <c r="V138" s="125" t="s">
        <v>514</v>
      </c>
      <c r="W138" s="132">
        <f>239615+2243+14170</f>
        <v>256028</v>
      </c>
      <c r="X138" s="125" t="s">
        <v>515</v>
      </c>
      <c r="Y138" s="476"/>
      <c r="Z138" s="132">
        <v>975486.66</v>
      </c>
      <c r="AC138" s="4"/>
      <c r="AD138" s="876"/>
      <c r="AE138" s="876"/>
      <c r="AF138" s="876"/>
      <c r="AG138" s="876"/>
      <c r="AH138" s="876"/>
      <c r="AI138" s="876"/>
      <c r="AJ138" s="876"/>
      <c r="AK138" s="876"/>
      <c r="AT138" s="178"/>
      <c r="AU138" s="178">
        <f>B124</f>
        <v>1.0550621669626998</v>
      </c>
      <c r="AV138" s="214"/>
    </row>
    <row r="139" spans="5:51" ht="15.75">
      <c r="V139" s="125" t="s">
        <v>425</v>
      </c>
      <c r="W139" s="132">
        <v>17</v>
      </c>
      <c r="X139" s="125" t="s">
        <v>431</v>
      </c>
      <c r="Y139" s="476"/>
      <c r="Z139" s="132">
        <v>69.8</v>
      </c>
      <c r="AC139" s="178"/>
      <c r="AD139" s="399"/>
      <c r="AE139" s="229"/>
      <c r="AF139" s="876"/>
      <c r="AG139" s="229"/>
      <c r="AH139" s="229"/>
      <c r="AI139" s="229"/>
      <c r="AJ139" s="876"/>
      <c r="AK139" s="229"/>
      <c r="AT139" s="278" t="s">
        <v>28</v>
      </c>
      <c r="AU139" s="279"/>
      <c r="AV139" s="280">
        <f>ROUND(AV136*$AU$138,2)</f>
        <v>180.21</v>
      </c>
    </row>
    <row r="140" spans="5:51" ht="15.75">
      <c r="V140" s="125" t="s">
        <v>428</v>
      </c>
      <c r="W140" s="132">
        <f>W138/W139</f>
        <v>15060.470588235294</v>
      </c>
      <c r="X140" s="125" t="s">
        <v>428</v>
      </c>
      <c r="Y140" s="476"/>
      <c r="Z140" s="132">
        <f>Z138/Z139</f>
        <v>13975.453581661892</v>
      </c>
      <c r="AC140" s="104"/>
      <c r="AD140" s="85"/>
      <c r="AE140" s="142"/>
      <c r="AF140" s="876"/>
      <c r="AG140" s="142"/>
      <c r="AH140" s="142"/>
      <c r="AI140" s="142"/>
      <c r="AJ140" s="876"/>
      <c r="AK140" s="142"/>
    </row>
    <row r="141" spans="5:51">
      <c r="V141" s="125" t="s">
        <v>516</v>
      </c>
      <c r="W141" s="132">
        <v>107589.1</v>
      </c>
      <c r="X141" s="476"/>
      <c r="Y141" s="476"/>
      <c r="Z141" s="126"/>
    </row>
    <row r="142" spans="5:51">
      <c r="V142" s="125" t="s">
        <v>431</v>
      </c>
      <c r="W142" s="132">
        <v>7</v>
      </c>
      <c r="X142" s="476"/>
      <c r="Y142" s="476"/>
      <c r="Z142" s="126"/>
    </row>
    <row r="143" spans="5:51">
      <c r="V143" s="125" t="s">
        <v>428</v>
      </c>
      <c r="W143" s="132">
        <f>W141/W142</f>
        <v>15369.871428571429</v>
      </c>
      <c r="X143" s="476"/>
      <c r="Y143" s="476"/>
      <c r="Z143" s="476"/>
    </row>
    <row r="144" spans="5:51" ht="15.75" thickBot="1"/>
    <row r="145" spans="1:55" s="776" customFormat="1" ht="15.75" thickBot="1">
      <c r="A145" s="775"/>
    </row>
    <row r="147" spans="1:55" ht="22.5">
      <c r="A147" s="737"/>
      <c r="B147" s="774" t="s">
        <v>517</v>
      </c>
      <c r="C147" s="737"/>
      <c r="D147" s="737"/>
      <c r="E147" s="773"/>
      <c r="F147" s="737"/>
      <c r="G147" s="737"/>
      <c r="H147" s="737"/>
      <c r="I147" s="1159"/>
      <c r="J147" s="1159"/>
      <c r="K147" s="737"/>
      <c r="L147" s="737"/>
      <c r="M147" s="1159"/>
      <c r="N147" s="1159"/>
      <c r="O147" s="1159"/>
      <c r="P147" s="737"/>
      <c r="Q147" s="737"/>
      <c r="R147" s="1159"/>
      <c r="S147" s="1159"/>
      <c r="T147" s="737"/>
      <c r="U147" s="737"/>
      <c r="V147" s="737"/>
      <c r="W147" s="737"/>
      <c r="X147" s="737"/>
      <c r="Y147" s="737"/>
      <c r="Z147" s="737"/>
      <c r="AA147" s="737"/>
      <c r="AB147" s="1159"/>
      <c r="AC147" s="1159"/>
      <c r="AD147" s="737"/>
      <c r="AE147" s="737"/>
      <c r="AF147" s="1159"/>
      <c r="AG147" s="1159"/>
      <c r="AH147" s="737"/>
      <c r="AI147" s="737"/>
      <c r="AJ147" s="737"/>
      <c r="AK147" s="737"/>
      <c r="AL147" s="1159"/>
      <c r="AM147" s="1159"/>
      <c r="AN147" s="737"/>
      <c r="AO147" s="737"/>
      <c r="AP147" s="1159"/>
      <c r="AQ147" s="1159"/>
      <c r="AR147" s="737"/>
      <c r="AS147" s="1159"/>
      <c r="AT147" s="1159"/>
      <c r="AU147" s="737"/>
      <c r="AV147" s="737"/>
      <c r="AW147" s="737"/>
      <c r="AX147" s="737"/>
      <c r="AY147" s="737"/>
      <c r="AZ147" s="737"/>
      <c r="BA147" s="737"/>
      <c r="BB147" s="737"/>
      <c r="BC147" s="737"/>
    </row>
    <row r="151" spans="1:55" ht="15" customHeight="1"/>
    <row r="152" spans="1:55" ht="22.5" customHeight="1"/>
    <row r="153" spans="1:55" ht="15.75">
      <c r="AM153" s="11" t="s">
        <v>518</v>
      </c>
      <c r="AN153" s="876"/>
      <c r="AO153" s="876"/>
      <c r="AP153" s="876"/>
      <c r="AQ153" s="876"/>
      <c r="AR153" s="876"/>
      <c r="AS153" s="876"/>
      <c r="AT153" s="876"/>
      <c r="AU153" s="876"/>
      <c r="AV153" s="876"/>
      <c r="AW153" s="876"/>
      <c r="AX153" s="876"/>
      <c r="AY153" s="876"/>
      <c r="AZ153" s="876"/>
      <c r="BA153" s="876"/>
    </row>
    <row r="154" spans="1:55" ht="15.75">
      <c r="AM154" s="448" t="s">
        <v>334</v>
      </c>
      <c r="AN154" s="20">
        <v>44743</v>
      </c>
      <c r="AO154" s="300"/>
      <c r="AP154" s="876"/>
      <c r="AQ154" s="876"/>
      <c r="AR154" s="876"/>
      <c r="AS154" s="876"/>
      <c r="AT154" s="876"/>
      <c r="AU154" s="876"/>
      <c r="AV154" s="876"/>
      <c r="AW154" s="876"/>
      <c r="AX154" s="876"/>
      <c r="AY154" s="876"/>
      <c r="AZ154" s="876"/>
      <c r="BA154" s="876"/>
    </row>
    <row r="155" spans="1:55" ht="15.75">
      <c r="AM155" s="19"/>
      <c r="AN155" s="20"/>
      <c r="AO155" s="876"/>
      <c r="AP155" s="876"/>
      <c r="AQ155" s="876"/>
      <c r="AR155" s="876"/>
      <c r="AS155" s="876"/>
      <c r="AT155" s="876"/>
      <c r="AU155" s="7" t="s">
        <v>519</v>
      </c>
      <c r="AV155" s="891"/>
      <c r="AW155" s="891"/>
      <c r="AX155" s="891"/>
      <c r="AY155" s="891"/>
      <c r="AZ155" s="891"/>
    </row>
    <row r="156" spans="1:55" ht="15.75">
      <c r="AM156" s="7" t="s">
        <v>520</v>
      </c>
      <c r="AN156" s="24"/>
      <c r="AO156" s="876"/>
      <c r="AP156" s="876"/>
      <c r="AQ156" s="7" t="s">
        <v>119</v>
      </c>
      <c r="AR156" s="25" t="s">
        <v>521</v>
      </c>
      <c r="AS156" s="876"/>
      <c r="AT156" s="876"/>
      <c r="AU156" s="315" t="s">
        <v>522</v>
      </c>
      <c r="AV156" s="100" t="s">
        <v>377</v>
      </c>
      <c r="AW156" s="100" t="s">
        <v>381</v>
      </c>
      <c r="AX156" s="100" t="s">
        <v>378</v>
      </c>
      <c r="AY156" s="100" t="s">
        <v>379</v>
      </c>
      <c r="AZ156" s="100" t="s">
        <v>380</v>
      </c>
      <c r="BA156" s="876"/>
    </row>
    <row r="157" spans="1:55" ht="15.75">
      <c r="AM157" s="99">
        <v>42736</v>
      </c>
      <c r="AN157" s="314" t="s">
        <v>341</v>
      </c>
      <c r="AO157" s="85"/>
      <c r="AP157" s="85"/>
      <c r="AQ157" s="99">
        <v>42736</v>
      </c>
      <c r="AR157" s="314" t="s">
        <v>341</v>
      </c>
      <c r="AS157" s="876"/>
      <c r="AT157" s="876"/>
      <c r="AU157" s="95" t="s">
        <v>93</v>
      </c>
      <c r="AV157" s="777">
        <v>14</v>
      </c>
      <c r="AW157" s="777">
        <v>283</v>
      </c>
      <c r="AX157" s="777">
        <v>80</v>
      </c>
      <c r="AY157" s="777">
        <v>54</v>
      </c>
      <c r="AZ157" s="777">
        <v>18</v>
      </c>
      <c r="BA157" s="876"/>
    </row>
    <row r="158" spans="1:55" ht="15.75">
      <c r="AM158" s="95" t="s">
        <v>93</v>
      </c>
      <c r="AN158" s="93">
        <v>449</v>
      </c>
      <c r="AO158" s="85"/>
      <c r="AP158" s="85"/>
      <c r="AQ158" s="95" t="s">
        <v>93</v>
      </c>
      <c r="AR158" s="312">
        <v>31</v>
      </c>
      <c r="AS158" s="876"/>
      <c r="AT158" s="876"/>
      <c r="AU158" s="95" t="s">
        <v>94</v>
      </c>
      <c r="AV158" s="777">
        <v>58</v>
      </c>
      <c r="AW158" s="777">
        <v>614</v>
      </c>
      <c r="AX158" s="777">
        <v>143</v>
      </c>
      <c r="AY158" s="777">
        <v>85</v>
      </c>
      <c r="AZ158" s="777">
        <v>33</v>
      </c>
      <c r="BA158" s="876"/>
    </row>
    <row r="159" spans="1:55" ht="15.75">
      <c r="AM159" s="95" t="s">
        <v>94</v>
      </c>
      <c r="AN159" s="93">
        <v>933</v>
      </c>
      <c r="AO159" s="85"/>
      <c r="AP159" s="85"/>
      <c r="AQ159" s="95" t="s">
        <v>94</v>
      </c>
      <c r="AR159" s="312">
        <v>93</v>
      </c>
      <c r="AS159" s="876"/>
      <c r="AT159" s="876"/>
      <c r="AU159" s="95" t="s">
        <v>95</v>
      </c>
      <c r="AV159" s="777">
        <v>195</v>
      </c>
      <c r="AW159" s="777">
        <v>1857</v>
      </c>
      <c r="AX159" s="777">
        <v>322</v>
      </c>
      <c r="AY159" s="777">
        <v>207</v>
      </c>
      <c r="AZ159" s="777">
        <v>57</v>
      </c>
      <c r="BA159" s="876"/>
    </row>
    <row r="160" spans="1:55" ht="15.75">
      <c r="AM160" s="95" t="s">
        <v>95</v>
      </c>
      <c r="AN160" s="93">
        <v>2638</v>
      </c>
      <c r="AO160" s="85"/>
      <c r="AP160" s="85"/>
      <c r="AQ160" s="95" t="s">
        <v>95</v>
      </c>
      <c r="AR160" s="312">
        <v>339</v>
      </c>
      <c r="AS160" s="876"/>
      <c r="AT160" s="876"/>
      <c r="AU160" s="95" t="s">
        <v>96</v>
      </c>
      <c r="AV160" s="777">
        <v>36</v>
      </c>
      <c r="AW160" s="777">
        <v>303</v>
      </c>
      <c r="AX160" s="777">
        <v>85</v>
      </c>
      <c r="AY160" s="777">
        <v>48</v>
      </c>
      <c r="AZ160" s="777">
        <v>29</v>
      </c>
      <c r="BA160" s="876"/>
    </row>
    <row r="161" spans="2:53" ht="15.75">
      <c r="AM161" s="95" t="s">
        <v>96</v>
      </c>
      <c r="AN161" s="93">
        <v>501</v>
      </c>
      <c r="AO161" s="85"/>
      <c r="AP161" s="85"/>
      <c r="AQ161" s="95" t="s">
        <v>96</v>
      </c>
      <c r="AR161" s="312">
        <v>39</v>
      </c>
      <c r="AS161" s="876"/>
      <c r="AT161" s="876"/>
      <c r="AU161" s="95" t="s">
        <v>97</v>
      </c>
      <c r="AV161" s="777">
        <v>34</v>
      </c>
      <c r="AW161" s="777">
        <v>353</v>
      </c>
      <c r="AX161" s="777">
        <v>53</v>
      </c>
      <c r="AY161" s="777">
        <v>44</v>
      </c>
      <c r="AZ161" s="777">
        <v>21</v>
      </c>
      <c r="BA161" s="876"/>
    </row>
    <row r="162" spans="2:53" ht="15.75">
      <c r="AM162" s="95" t="s">
        <v>97</v>
      </c>
      <c r="AN162" s="93">
        <v>505</v>
      </c>
      <c r="AO162" s="85"/>
      <c r="AP162" s="85"/>
      <c r="AQ162" s="95" t="s">
        <v>97</v>
      </c>
      <c r="AR162" s="312">
        <v>62</v>
      </c>
      <c r="AS162" s="876"/>
      <c r="AT162" s="876"/>
      <c r="AU162" s="95" t="s">
        <v>98</v>
      </c>
      <c r="AV162" s="777">
        <v>119</v>
      </c>
      <c r="AW162" s="777">
        <v>1136</v>
      </c>
      <c r="AX162" s="777">
        <v>195</v>
      </c>
      <c r="AY162" s="777">
        <v>123</v>
      </c>
      <c r="AZ162" s="777">
        <v>46</v>
      </c>
      <c r="BA162" s="876"/>
    </row>
    <row r="163" spans="2:53" ht="15.75">
      <c r="AM163" s="95" t="s">
        <v>98</v>
      </c>
      <c r="AN163" s="93">
        <v>1619</v>
      </c>
      <c r="AO163" s="85"/>
      <c r="AP163" s="85"/>
      <c r="AQ163" s="95" t="s">
        <v>98</v>
      </c>
      <c r="AR163" s="312">
        <v>200</v>
      </c>
      <c r="AS163" s="876"/>
      <c r="AT163" s="876"/>
      <c r="AU163" s="95" t="s">
        <v>99</v>
      </c>
      <c r="AV163" s="777">
        <v>540</v>
      </c>
      <c r="AW163" s="777">
        <v>4120</v>
      </c>
      <c r="AX163" s="777">
        <v>508</v>
      </c>
      <c r="AY163" s="777">
        <v>268</v>
      </c>
      <c r="AZ163" s="777">
        <v>76</v>
      </c>
      <c r="BA163" s="876"/>
    </row>
    <row r="164" spans="2:53" ht="15.75">
      <c r="AM164" s="95" t="s">
        <v>99</v>
      </c>
      <c r="AN164" s="93">
        <v>5512</v>
      </c>
      <c r="AO164" s="85"/>
      <c r="AP164" s="85"/>
      <c r="AQ164" s="95" t="s">
        <v>99</v>
      </c>
      <c r="AR164" s="312">
        <v>768</v>
      </c>
      <c r="AS164" s="876"/>
      <c r="AT164" s="876"/>
      <c r="AU164" s="95" t="s">
        <v>100</v>
      </c>
      <c r="AV164" s="777">
        <v>18</v>
      </c>
      <c r="AW164" s="777">
        <v>173</v>
      </c>
      <c r="AX164" s="777">
        <v>66</v>
      </c>
      <c r="AY164" s="777">
        <v>33</v>
      </c>
      <c r="AZ164" s="777">
        <v>23</v>
      </c>
      <c r="BA164" s="876"/>
    </row>
    <row r="165" spans="2:53" ht="15.75">
      <c r="AM165" s="95" t="s">
        <v>100</v>
      </c>
      <c r="AN165" s="93">
        <v>313</v>
      </c>
      <c r="AO165" s="85"/>
      <c r="AP165" s="85"/>
      <c r="AQ165" s="95" t="s">
        <v>100</v>
      </c>
      <c r="AR165" s="312">
        <v>19</v>
      </c>
      <c r="AS165" s="876"/>
      <c r="AT165" s="876"/>
      <c r="AU165" s="95" t="s">
        <v>101</v>
      </c>
      <c r="AV165" s="777">
        <v>5</v>
      </c>
      <c r="AW165" s="777">
        <v>139</v>
      </c>
      <c r="AX165" s="777">
        <v>34</v>
      </c>
      <c r="AY165" s="777">
        <v>34</v>
      </c>
      <c r="AZ165" s="777">
        <v>12</v>
      </c>
      <c r="BA165" s="876"/>
    </row>
    <row r="166" spans="2:53" ht="15.75">
      <c r="AM166" s="95" t="s">
        <v>101</v>
      </c>
      <c r="AN166" s="93">
        <v>224</v>
      </c>
      <c r="AO166" s="85"/>
      <c r="AP166" s="85"/>
      <c r="AQ166" s="95" t="s">
        <v>101</v>
      </c>
      <c r="AR166" s="312">
        <v>6</v>
      </c>
      <c r="AS166" s="876"/>
      <c r="AT166" s="876"/>
      <c r="AU166" s="95" t="s">
        <v>102</v>
      </c>
      <c r="AV166" s="777">
        <v>215</v>
      </c>
      <c r="AW166" s="777">
        <v>1515</v>
      </c>
      <c r="AX166" s="777">
        <v>234</v>
      </c>
      <c r="AY166" s="777">
        <v>132</v>
      </c>
      <c r="AZ166" s="777">
        <v>39</v>
      </c>
      <c r="BA166" s="876"/>
    </row>
    <row r="167" spans="2:53" ht="15.75">
      <c r="AM167" s="95" t="s">
        <v>102</v>
      </c>
      <c r="AN167" s="93">
        <v>2135</v>
      </c>
      <c r="AO167" s="85"/>
      <c r="AP167" s="85"/>
      <c r="AQ167" s="95" t="s">
        <v>102</v>
      </c>
      <c r="AR167" s="312">
        <v>298</v>
      </c>
      <c r="AS167" s="876"/>
      <c r="AT167" s="876"/>
      <c r="AU167" s="95" t="s">
        <v>103</v>
      </c>
      <c r="AV167" s="777">
        <v>16</v>
      </c>
      <c r="AW167" s="777">
        <v>253</v>
      </c>
      <c r="AX167" s="777">
        <v>55</v>
      </c>
      <c r="AY167" s="777">
        <v>38</v>
      </c>
      <c r="AZ167" s="777">
        <v>14</v>
      </c>
      <c r="BA167" s="876"/>
    </row>
    <row r="168" spans="2:53" ht="15.75">
      <c r="AM168" s="95" t="s">
        <v>103</v>
      </c>
      <c r="AN168" s="93">
        <v>376</v>
      </c>
      <c r="AO168" s="85"/>
      <c r="AP168" s="85"/>
      <c r="AQ168" s="95" t="s">
        <v>103</v>
      </c>
      <c r="AR168" s="312">
        <v>44</v>
      </c>
      <c r="AS168" s="876"/>
      <c r="AT168" s="876"/>
      <c r="AU168" s="95" t="s">
        <v>104</v>
      </c>
      <c r="AV168" s="777">
        <v>138</v>
      </c>
      <c r="AW168" s="777">
        <v>1203</v>
      </c>
      <c r="AX168" s="777">
        <v>257</v>
      </c>
      <c r="AY168" s="777">
        <v>139</v>
      </c>
      <c r="AZ168" s="777">
        <v>73</v>
      </c>
      <c r="BA168" s="876"/>
    </row>
    <row r="169" spans="2:53" ht="15.75">
      <c r="J169" t="s">
        <v>523</v>
      </c>
      <c r="AM169" s="95" t="s">
        <v>104</v>
      </c>
      <c r="AN169" s="93">
        <v>1810</v>
      </c>
      <c r="AO169" s="85"/>
      <c r="AP169" s="85"/>
      <c r="AQ169" s="95" t="s">
        <v>104</v>
      </c>
      <c r="AR169" s="312">
        <v>224</v>
      </c>
      <c r="AS169" s="876"/>
      <c r="AT169" s="876"/>
      <c r="AU169" s="95" t="s">
        <v>105</v>
      </c>
      <c r="AV169" s="778">
        <v>9</v>
      </c>
      <c r="AW169" s="777">
        <v>59</v>
      </c>
      <c r="AX169" s="777">
        <v>17</v>
      </c>
      <c r="AY169" s="777">
        <v>15</v>
      </c>
      <c r="AZ169" s="777">
        <v>5</v>
      </c>
      <c r="BA169" s="876"/>
    </row>
    <row r="170" spans="2:53" ht="15.75">
      <c r="AM170" s="95" t="s">
        <v>105</v>
      </c>
      <c r="AN170" s="93">
        <v>105</v>
      </c>
      <c r="AO170" s="85"/>
      <c r="AP170" s="85"/>
      <c r="AQ170" s="95" t="s">
        <v>105</v>
      </c>
      <c r="AR170" s="312">
        <v>10</v>
      </c>
      <c r="AS170" s="876"/>
      <c r="AT170" s="876"/>
      <c r="AU170" s="95" t="s">
        <v>106</v>
      </c>
      <c r="AV170" s="778">
        <v>60</v>
      </c>
      <c r="AW170" s="777">
        <v>685</v>
      </c>
      <c r="AX170" s="777">
        <v>152</v>
      </c>
      <c r="AY170" s="777">
        <v>94</v>
      </c>
      <c r="AZ170" s="777">
        <v>28</v>
      </c>
      <c r="BA170" s="876"/>
    </row>
    <row r="171" spans="2:53" ht="15.75">
      <c r="AM171" s="95" t="s">
        <v>106</v>
      </c>
      <c r="AN171" s="93">
        <v>1019</v>
      </c>
      <c r="AO171" s="85"/>
      <c r="AP171" s="85"/>
      <c r="AQ171" s="95" t="s">
        <v>106</v>
      </c>
      <c r="AR171" s="312">
        <v>117</v>
      </c>
      <c r="AS171" s="876"/>
      <c r="AT171" s="876"/>
      <c r="AU171" s="95" t="s">
        <v>107</v>
      </c>
      <c r="AV171" s="777">
        <v>39</v>
      </c>
      <c r="AW171" s="777">
        <v>292</v>
      </c>
      <c r="AX171" s="777">
        <v>63</v>
      </c>
      <c r="AY171" s="777">
        <v>41</v>
      </c>
      <c r="AZ171" s="777">
        <v>28</v>
      </c>
      <c r="BA171" s="876"/>
    </row>
    <row r="172" spans="2:53" ht="15.75">
      <c r="AM172" s="95" t="s">
        <v>107</v>
      </c>
      <c r="AN172" s="93">
        <v>463</v>
      </c>
      <c r="AO172" s="85"/>
      <c r="AP172" s="85"/>
      <c r="AQ172" s="95" t="s">
        <v>107</v>
      </c>
      <c r="AR172" s="312">
        <v>47</v>
      </c>
      <c r="AS172" s="876"/>
      <c r="AT172" s="876"/>
      <c r="AU172" s="96" t="s">
        <v>108</v>
      </c>
      <c r="AV172" s="779">
        <v>662</v>
      </c>
      <c r="AW172" s="779">
        <v>8101</v>
      </c>
      <c r="AX172" s="779">
        <v>1564</v>
      </c>
      <c r="AY172" s="779">
        <v>1036</v>
      </c>
      <c r="AZ172" s="779">
        <v>379</v>
      </c>
      <c r="BA172" s="876"/>
    </row>
    <row r="173" spans="2:53" ht="15.75">
      <c r="AM173" s="96" t="s">
        <v>108</v>
      </c>
      <c r="AN173" s="94">
        <v>11742</v>
      </c>
      <c r="AO173" s="85"/>
      <c r="AP173" s="85"/>
      <c r="AQ173" s="96" t="s">
        <v>108</v>
      </c>
      <c r="AR173" s="313">
        <v>1225</v>
      </c>
      <c r="AS173" s="876"/>
      <c r="AT173" s="876"/>
      <c r="AU173" s="95" t="s">
        <v>109</v>
      </c>
      <c r="AV173" s="98">
        <v>2158</v>
      </c>
      <c r="AW173" s="98">
        <v>21086</v>
      </c>
      <c r="AX173" s="98">
        <v>3828</v>
      </c>
      <c r="AY173" s="98">
        <v>2391</v>
      </c>
      <c r="AZ173" s="98">
        <v>881</v>
      </c>
      <c r="BA173" s="876"/>
    </row>
    <row r="174" spans="2:53" ht="15.75">
      <c r="AM174" s="95" t="s">
        <v>109</v>
      </c>
      <c r="AN174" s="97">
        <v>30344</v>
      </c>
      <c r="AO174" s="85"/>
      <c r="AP174" s="85"/>
      <c r="AQ174" s="95" t="s">
        <v>109</v>
      </c>
      <c r="AR174" s="98">
        <v>3522</v>
      </c>
      <c r="AS174" s="876"/>
      <c r="AT174" s="876"/>
      <c r="AU174" s="876"/>
      <c r="AV174" s="876"/>
      <c r="AW174" s="876"/>
      <c r="AX174" s="876"/>
      <c r="AY174" s="876"/>
      <c r="AZ174" s="876"/>
      <c r="BA174" s="876"/>
    </row>
    <row r="175" spans="2:53" ht="15.75">
      <c r="B175" t="s">
        <v>524</v>
      </c>
      <c r="AM175" s="876"/>
      <c r="AN175" s="876"/>
      <c r="AO175" s="876"/>
      <c r="AP175" s="876"/>
      <c r="AQ175" s="876"/>
      <c r="AR175" s="876"/>
      <c r="AS175" s="876"/>
      <c r="AT175" s="876"/>
      <c r="AU175" s="876"/>
      <c r="AV175" s="876"/>
      <c r="AW175" s="876"/>
      <c r="AX175" s="876"/>
      <c r="AY175" s="876"/>
      <c r="AZ175" s="876"/>
      <c r="BA175" s="876"/>
    </row>
    <row r="176" spans="2:53" ht="15.75">
      <c r="AZ176" s="876"/>
      <c r="BA176" s="876"/>
    </row>
    <row r="190" spans="1:30">
      <c r="AD190" t="s">
        <v>525</v>
      </c>
    </row>
    <row r="191" spans="1:30" ht="15.75" thickBot="1"/>
    <row r="192" spans="1:30" s="776" customFormat="1" ht="15.75" thickBot="1">
      <c r="A192" s="775"/>
    </row>
  </sheetData>
  <mergeCells count="23">
    <mergeCell ref="AS147:AT147"/>
    <mergeCell ref="I147:J147"/>
    <mergeCell ref="M147:O147"/>
    <mergeCell ref="R147:S147"/>
    <mergeCell ref="AN26:AR26"/>
    <mergeCell ref="AN27:AR27"/>
    <mergeCell ref="V107:Z108"/>
    <mergeCell ref="J38:K38"/>
    <mergeCell ref="J54:K55"/>
    <mergeCell ref="AN106:AR106"/>
    <mergeCell ref="AN107:AR107"/>
    <mergeCell ref="AB147:AC147"/>
    <mergeCell ref="AF147:AG147"/>
    <mergeCell ref="AL147:AM147"/>
    <mergeCell ref="AP147:AQ147"/>
    <mergeCell ref="J80:K83"/>
    <mergeCell ref="J123:L131"/>
    <mergeCell ref="AX87:AY90"/>
    <mergeCell ref="AN108:AR108"/>
    <mergeCell ref="AN63:AR63"/>
    <mergeCell ref="V64:Z65"/>
    <mergeCell ref="AN64:AR64"/>
    <mergeCell ref="AN65:AR65"/>
  </mergeCells>
  <phoneticPr fontId="99" type="noConversion"/>
  <hyperlinks>
    <hyperlink ref="A29" r:id="rId1" xr:uid="{00000000-0004-0000-0A00-000000000000}"/>
    <hyperlink ref="I52" r:id="rId2" display="https://www.asub.ax/sites/www.asub.ax/files/statistics/prisindex_for_den_kommunala_basservicen_2021.pdf" xr:uid="{00000000-0004-0000-0A00-000001000000}"/>
    <hyperlink ref="J120" r:id="rId3" display="https://www.asub.ax/sv/statistik/prisindex-kommunala-basservicen-pa-aland-2024-preliminara-uppgifter" xr:uid="{00000000-0004-0000-0A00-000002000000}"/>
    <hyperlink ref="J77" r:id="rId4" display="https://www.asub.ax/sv/statistik/prisindex-kommunala-basservicen-pa-aland-2022" xr:uid="{914F37D2-C6CB-4573-8055-270317E83930}"/>
    <hyperlink ref="J80:K83" r:id="rId5" display="Använder prel-indexsiffror ty försenat från uppgiftslämnare. Se mail från åsub. /RLÖ 18092023" xr:uid="{0692B92F-215F-45AB-91AD-29883452D85A}"/>
  </hyperlinks>
  <pageMargins left="0.7" right="0.7" top="0.75" bottom="0.75" header="0.3" footer="0.3"/>
  <pageSetup paperSize="9" scale="99"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5"/>
  <sheetViews>
    <sheetView zoomScaleNormal="100" workbookViewId="0">
      <selection activeCell="K34" sqref="K34"/>
    </sheetView>
  </sheetViews>
  <sheetFormatPr defaultRowHeight="15"/>
  <cols>
    <col min="1" max="1" width="11.109375" bestFit="1" customWidth="1"/>
    <col min="2" max="2" width="13.88671875" customWidth="1"/>
    <col min="3" max="3" width="9.77734375" bestFit="1" customWidth="1"/>
    <col min="4" max="4" width="13.88671875" bestFit="1" customWidth="1"/>
    <col min="5" max="5" width="17.33203125" customWidth="1"/>
    <col min="17" max="17" width="11.109375" bestFit="1" customWidth="1"/>
    <col min="18" max="19" width="10.33203125" bestFit="1" customWidth="1"/>
    <col min="20" max="20" width="15" bestFit="1" customWidth="1"/>
  </cols>
  <sheetData>
    <row r="1" spans="1:8" ht="15.75">
      <c r="A1" s="11" t="s">
        <v>526</v>
      </c>
    </row>
    <row r="2" spans="1:8" ht="18">
      <c r="A2" s="10"/>
    </row>
    <row r="3" spans="1:8">
      <c r="A3" s="246" t="s">
        <v>74</v>
      </c>
      <c r="B3" s="214"/>
      <c r="C3" s="214"/>
      <c r="D3" s="214"/>
    </row>
    <row r="4" spans="1:8">
      <c r="A4" s="214"/>
      <c r="B4" s="214"/>
      <c r="C4" s="214"/>
      <c r="D4" s="214"/>
    </row>
    <row r="5" spans="1:8">
      <c r="A5" s="214"/>
      <c r="B5" s="214"/>
      <c r="C5" s="214"/>
      <c r="D5" s="214"/>
    </row>
    <row r="6" spans="1:8">
      <c r="A6" s="215"/>
      <c r="B6" s="103" t="s">
        <v>119</v>
      </c>
      <c r="C6" s="103" t="s">
        <v>22</v>
      </c>
      <c r="D6" s="103" t="s">
        <v>122</v>
      </c>
      <c r="E6" s="103" t="s">
        <v>527</v>
      </c>
      <c r="F6" s="103" t="s">
        <v>528</v>
      </c>
      <c r="H6" s="201" t="s">
        <v>529</v>
      </c>
    </row>
    <row r="7" spans="1:8">
      <c r="A7" s="149" t="s">
        <v>93</v>
      </c>
      <c r="B7" s="93">
        <f>'Skola data'!B40</f>
        <v>356474.67</v>
      </c>
      <c r="C7" s="93">
        <f>STR!D10</f>
        <v>0</v>
      </c>
      <c r="D7" s="93">
        <f>Specialfritids!D10</f>
        <v>0</v>
      </c>
      <c r="E7" s="93">
        <f>Grvux!D10</f>
        <v>0</v>
      </c>
      <c r="F7" s="93">
        <f>Förb!D10</f>
        <v>0</v>
      </c>
      <c r="H7" s="241">
        <f>B7+C7+D7+E7+F7</f>
        <v>356474.67</v>
      </c>
    </row>
    <row r="8" spans="1:8">
      <c r="A8" s="149" t="s">
        <v>94</v>
      </c>
      <c r="B8" s="93">
        <f>'Skola data'!B46</f>
        <v>396383.99</v>
      </c>
      <c r="C8" s="93">
        <f>STR!D11</f>
        <v>117324.69</v>
      </c>
      <c r="D8" s="93">
        <f>Specialfritids!D11</f>
        <v>34341.339999999997</v>
      </c>
      <c r="E8" s="93">
        <f>Grvux!D11</f>
        <v>0</v>
      </c>
      <c r="F8" s="93">
        <f>Förb!D11</f>
        <v>0</v>
      </c>
      <c r="H8" s="241">
        <f t="shared" ref="H8:H23" si="0">B8+C8+D8+E8+F8</f>
        <v>548050.02</v>
      </c>
    </row>
    <row r="9" spans="1:8">
      <c r="A9" s="149" t="s">
        <v>95</v>
      </c>
      <c r="B9" s="93">
        <f>'Skola data'!B52</f>
        <v>499702.93</v>
      </c>
      <c r="C9" s="93">
        <f>STR!D12</f>
        <v>195541.15</v>
      </c>
      <c r="D9" s="93">
        <f>Specialfritids!D12</f>
        <v>68682.679999999993</v>
      </c>
      <c r="E9" s="93">
        <f>Grvux!D12</f>
        <v>52570.26</v>
      </c>
      <c r="F9" s="93">
        <f>Förb!D12</f>
        <v>159336.29999999999</v>
      </c>
      <c r="H9" s="241">
        <f t="shared" si="0"/>
        <v>975833.32000000007</v>
      </c>
    </row>
    <row r="10" spans="1:8">
      <c r="A10" s="149" t="s">
        <v>96</v>
      </c>
      <c r="B10" s="93">
        <f>'Skola data'!B58</f>
        <v>529067.59</v>
      </c>
      <c r="C10" s="93">
        <f>STR!D13</f>
        <v>39108.230000000003</v>
      </c>
      <c r="D10" s="93">
        <f>Specialfritids!D13</f>
        <v>0</v>
      </c>
      <c r="E10" s="93">
        <f>Grvux!D13</f>
        <v>0</v>
      </c>
      <c r="F10" s="93">
        <f>Förb!D13</f>
        <v>0</v>
      </c>
      <c r="H10" s="241">
        <f t="shared" si="0"/>
        <v>568175.81999999995</v>
      </c>
    </row>
    <row r="11" spans="1:8">
      <c r="A11" s="149" t="s">
        <v>97</v>
      </c>
      <c r="B11" s="93">
        <f>'Skola data'!B64</f>
        <v>316431.53000000003</v>
      </c>
      <c r="C11" s="93">
        <f>STR!D14</f>
        <v>78216.460000000006</v>
      </c>
      <c r="D11" s="93">
        <f>Specialfritids!D14</f>
        <v>0</v>
      </c>
      <c r="E11" s="93">
        <f>Grvux!D14</f>
        <v>0</v>
      </c>
      <c r="F11" s="93">
        <f>Förb!D14</f>
        <v>15933.63</v>
      </c>
      <c r="H11" s="241">
        <f t="shared" si="0"/>
        <v>410581.62000000005</v>
      </c>
    </row>
    <row r="12" spans="1:8">
      <c r="A12" s="149" t="s">
        <v>98</v>
      </c>
      <c r="B12" s="93">
        <f>'Skola data'!B70</f>
        <v>453251.58</v>
      </c>
      <c r="C12" s="93">
        <f>STR!D15</f>
        <v>78216.460000000006</v>
      </c>
      <c r="D12" s="93">
        <f>Specialfritids!D15</f>
        <v>17170.669999999998</v>
      </c>
      <c r="E12" s="93">
        <f>Grvux!D15</f>
        <v>0</v>
      </c>
      <c r="F12" s="93">
        <f>Förb!D15</f>
        <v>31867.26</v>
      </c>
      <c r="H12" s="241">
        <f t="shared" si="0"/>
        <v>580505.97000000009</v>
      </c>
    </row>
    <row r="13" spans="1:8">
      <c r="A13" s="149" t="s">
        <v>99</v>
      </c>
      <c r="B13" s="93">
        <f>'Skola data'!B76</f>
        <v>661226.96</v>
      </c>
      <c r="C13" s="93">
        <f>STR!D16</f>
        <v>469298.76</v>
      </c>
      <c r="D13" s="93">
        <f>Specialfritids!D16</f>
        <v>171706.7</v>
      </c>
      <c r="E13" s="93">
        <f>Grvux!D16</f>
        <v>0</v>
      </c>
      <c r="F13" s="93">
        <f>Förb!D16</f>
        <v>0</v>
      </c>
      <c r="H13" s="241">
        <f t="shared" si="0"/>
        <v>1302232.42</v>
      </c>
    </row>
    <row r="14" spans="1:8">
      <c r="A14" s="149" t="s">
        <v>100</v>
      </c>
      <c r="B14" s="93">
        <f>'Skola data'!B82</f>
        <v>221260.14</v>
      </c>
      <c r="C14" s="93">
        <f>STR!D17</f>
        <v>0</v>
      </c>
      <c r="D14" s="93">
        <f>Specialfritids!D17</f>
        <v>0</v>
      </c>
      <c r="E14" s="93">
        <f>Grvux!D17</f>
        <v>35046.839999999997</v>
      </c>
      <c r="F14" s="93">
        <f>Förb!D17</f>
        <v>0</v>
      </c>
      <c r="H14" s="241">
        <f t="shared" si="0"/>
        <v>256306.98</v>
      </c>
    </row>
    <row r="15" spans="1:8">
      <c r="A15" s="149" t="s">
        <v>101</v>
      </c>
      <c r="B15" s="93">
        <f>'Skola data'!B88</f>
        <v>24584.46</v>
      </c>
      <c r="C15" s="93">
        <f>STR!D18</f>
        <v>0</v>
      </c>
      <c r="D15" s="93">
        <f>Specialfritids!D18</f>
        <v>0</v>
      </c>
      <c r="E15" s="93">
        <f>Grvux!D18</f>
        <v>0</v>
      </c>
      <c r="F15" s="93">
        <f>Förb!D18</f>
        <v>31867.26</v>
      </c>
      <c r="H15" s="241">
        <f t="shared" si="0"/>
        <v>56451.72</v>
      </c>
    </row>
    <row r="16" spans="1:8">
      <c r="A16" s="149" t="s">
        <v>102</v>
      </c>
      <c r="B16" s="93">
        <f>'Skola data'!B94</f>
        <v>499702.93</v>
      </c>
      <c r="C16" s="93">
        <f>STR!D19</f>
        <v>39108.230000000003</v>
      </c>
      <c r="D16" s="93">
        <f>Specialfritids!D19</f>
        <v>17170.669999999998</v>
      </c>
      <c r="E16" s="93">
        <f>Grvux!D19</f>
        <v>17523.419999999998</v>
      </c>
      <c r="F16" s="93">
        <f>Förb!D19</f>
        <v>31867.26</v>
      </c>
      <c r="H16" s="241">
        <f t="shared" si="0"/>
        <v>605372.51000000013</v>
      </c>
    </row>
    <row r="17" spans="1:8">
      <c r="A17" s="149" t="s">
        <v>103</v>
      </c>
      <c r="B17" s="93">
        <f>'Skola data'!B100</f>
        <v>221699.15</v>
      </c>
      <c r="C17" s="93">
        <f>STR!D20</f>
        <v>0</v>
      </c>
      <c r="D17" s="93">
        <f>Specialfritids!D20</f>
        <v>0</v>
      </c>
      <c r="E17" s="93">
        <f>Grvux!D20</f>
        <v>0</v>
      </c>
      <c r="F17" s="93">
        <f>Förb!D20</f>
        <v>0</v>
      </c>
      <c r="H17" s="241">
        <f t="shared" si="0"/>
        <v>221699.15</v>
      </c>
    </row>
    <row r="18" spans="1:8">
      <c r="A18" s="149" t="s">
        <v>104</v>
      </c>
      <c r="B18" s="93">
        <f>'Skola data'!B106</f>
        <v>464160.61</v>
      </c>
      <c r="C18" s="93">
        <f>STR!D21</f>
        <v>156432.92000000001</v>
      </c>
      <c r="D18" s="93">
        <f>Specialfritids!D21</f>
        <v>51512.01</v>
      </c>
      <c r="E18" s="93">
        <f>Grvux!D21</f>
        <v>0</v>
      </c>
      <c r="F18" s="93">
        <f>Förb!D21</f>
        <v>15933.63</v>
      </c>
      <c r="H18" s="241">
        <f t="shared" si="0"/>
        <v>688039.17</v>
      </c>
    </row>
    <row r="19" spans="1:8">
      <c r="A19" s="149" t="s">
        <v>105</v>
      </c>
      <c r="B19" s="93">
        <f>'Skola data'!B112</f>
        <v>196675.68</v>
      </c>
      <c r="C19" s="93">
        <f>STR!D22</f>
        <v>0</v>
      </c>
      <c r="D19" s="93">
        <f>Specialfritids!D22</f>
        <v>0</v>
      </c>
      <c r="E19" s="93">
        <f>Grvux!D22</f>
        <v>0</v>
      </c>
      <c r="F19" s="93">
        <f>Förb!D22</f>
        <v>0</v>
      </c>
      <c r="H19" s="241">
        <f t="shared" si="0"/>
        <v>196675.68</v>
      </c>
    </row>
    <row r="20" spans="1:8">
      <c r="A20" s="149" t="s">
        <v>106</v>
      </c>
      <c r="B20" s="93">
        <f>'Skola data'!B118</f>
        <v>411586.22</v>
      </c>
      <c r="C20" s="93">
        <f>STR!D23</f>
        <v>156432.92000000001</v>
      </c>
      <c r="D20" s="93">
        <f>Specialfritids!D23</f>
        <v>34341.339999999997</v>
      </c>
      <c r="E20" s="93">
        <f>Grvux!D23</f>
        <v>0</v>
      </c>
      <c r="F20" s="93">
        <f>Förb!D23</f>
        <v>0</v>
      </c>
      <c r="H20" s="241">
        <f t="shared" si="0"/>
        <v>602360.48</v>
      </c>
    </row>
    <row r="21" spans="1:8">
      <c r="A21" s="149" t="s">
        <v>107</v>
      </c>
      <c r="B21" s="93">
        <f>'Skola data'!B124</f>
        <v>386076.37</v>
      </c>
      <c r="C21" s="93">
        <f>STR!D24</f>
        <v>0</v>
      </c>
      <c r="D21" s="93">
        <f>Specialfritids!D24</f>
        <v>0</v>
      </c>
      <c r="E21" s="93">
        <f>Grvux!D24</f>
        <v>0</v>
      </c>
      <c r="F21" s="93">
        <f>Förb!D24</f>
        <v>15933.63</v>
      </c>
      <c r="H21" s="241">
        <f t="shared" si="0"/>
        <v>402010</v>
      </c>
    </row>
    <row r="22" spans="1:8">
      <c r="A22" s="149" t="s">
        <v>108</v>
      </c>
      <c r="B22" s="94">
        <f>'Skola data'!B130</f>
        <v>825918.13</v>
      </c>
      <c r="C22" s="93">
        <f>STR!D25</f>
        <v>273757.61</v>
      </c>
      <c r="D22" s="93">
        <f>Specialfritids!D25</f>
        <v>85853.35</v>
      </c>
      <c r="E22" s="93">
        <f>Grvux!D25</f>
        <v>157710.78</v>
      </c>
      <c r="F22" s="93">
        <f>Förb!D25</f>
        <v>573610.68000000005</v>
      </c>
      <c r="H22" s="243">
        <f t="shared" si="0"/>
        <v>1916850.5500000003</v>
      </c>
    </row>
    <row r="23" spans="1:8">
      <c r="A23" s="208" t="s">
        <v>109</v>
      </c>
      <c r="B23" s="97">
        <f>SUM(B7:B22)</f>
        <v>6464202.9399999995</v>
      </c>
      <c r="C23" s="249">
        <f>SUM(C7:C22)</f>
        <v>1603437.4299999997</v>
      </c>
      <c r="D23" s="249">
        <f>Specialfritids!D26</f>
        <v>480778.76</v>
      </c>
      <c r="E23" s="249">
        <f>Grvux!D26</f>
        <v>262851.3</v>
      </c>
      <c r="F23" s="249">
        <f>Förb!D26</f>
        <v>876349.65000000014</v>
      </c>
      <c r="H23" s="245">
        <f t="shared" si="0"/>
        <v>9687620.0800000001</v>
      </c>
    </row>
    <row r="24" spans="1:8">
      <c r="A24" s="214"/>
      <c r="B24" s="214"/>
      <c r="C24" s="214"/>
      <c r="D24" s="214"/>
      <c r="E24" s="214"/>
    </row>
    <row r="26" spans="1:8" s="570" customFormat="1">
      <c r="A26" s="568">
        <v>2024</v>
      </c>
      <c r="B26" s="569"/>
      <c r="C26" s="569"/>
      <c r="D26" s="569"/>
    </row>
    <row r="27" spans="1:8">
      <c r="A27" s="214"/>
      <c r="B27" s="214"/>
      <c r="C27" s="214"/>
      <c r="D27" s="214"/>
    </row>
    <row r="28" spans="1:8">
      <c r="A28" s="215"/>
      <c r="B28" s="103" t="s">
        <v>119</v>
      </c>
      <c r="C28" s="103" t="s">
        <v>22</v>
      </c>
      <c r="D28" s="103" t="s">
        <v>122</v>
      </c>
      <c r="E28" s="103" t="s">
        <v>527</v>
      </c>
      <c r="F28" s="103" t="s">
        <v>528</v>
      </c>
      <c r="H28" s="201" t="s">
        <v>529</v>
      </c>
    </row>
    <row r="29" spans="1:8">
      <c r="A29" s="149" t="s">
        <v>93</v>
      </c>
      <c r="B29" s="736">
        <v>399778</v>
      </c>
      <c r="C29" s="486">
        <v>0</v>
      </c>
      <c r="D29" s="486">
        <v>0</v>
      </c>
      <c r="E29" s="486">
        <v>0</v>
      </c>
      <c r="F29" s="736">
        <v>47608</v>
      </c>
      <c r="G29" s="737"/>
      <c r="H29" s="738">
        <v>447386</v>
      </c>
    </row>
    <row r="30" spans="1:8">
      <c r="A30" s="149" t="s">
        <v>94</v>
      </c>
      <c r="B30" s="736">
        <v>382394</v>
      </c>
      <c r="C30" s="736">
        <v>79570</v>
      </c>
      <c r="D30" s="736">
        <v>11385</v>
      </c>
      <c r="E30" s="486">
        <v>0</v>
      </c>
      <c r="F30" s="736">
        <v>28763</v>
      </c>
      <c r="G30" s="737"/>
      <c r="H30" s="738">
        <v>502112</v>
      </c>
    </row>
    <row r="31" spans="1:8">
      <c r="A31" s="149" t="s">
        <v>95</v>
      </c>
      <c r="B31" s="736">
        <v>478666</v>
      </c>
      <c r="C31" s="736">
        <v>33154</v>
      </c>
      <c r="D31" s="736">
        <v>9487</v>
      </c>
      <c r="E31" s="736">
        <v>19029</v>
      </c>
      <c r="F31" s="736">
        <v>100174</v>
      </c>
      <c r="G31" s="737"/>
      <c r="H31" s="738">
        <v>640510</v>
      </c>
    </row>
    <row r="32" spans="1:8">
      <c r="A32" s="149" t="s">
        <v>96</v>
      </c>
      <c r="B32" s="736">
        <v>467784</v>
      </c>
      <c r="C32" s="736">
        <v>39785</v>
      </c>
      <c r="D32" s="486">
        <v>0</v>
      </c>
      <c r="E32" s="486">
        <v>0</v>
      </c>
      <c r="F32" s="736">
        <v>35706</v>
      </c>
      <c r="G32" s="737"/>
      <c r="H32" s="738">
        <v>543274</v>
      </c>
    </row>
    <row r="33" spans="1:8">
      <c r="A33" s="149" t="s">
        <v>97</v>
      </c>
      <c r="B33" s="736">
        <v>298914</v>
      </c>
      <c r="C33" s="736">
        <v>62993</v>
      </c>
      <c r="D33" s="486">
        <v>0</v>
      </c>
      <c r="E33" s="486">
        <v>0</v>
      </c>
      <c r="F33" s="736">
        <v>49591</v>
      </c>
      <c r="G33" s="737"/>
      <c r="H33" s="738">
        <v>411498</v>
      </c>
    </row>
    <row r="34" spans="1:8">
      <c r="A34" s="149" t="s">
        <v>98</v>
      </c>
      <c r="B34" s="736">
        <v>434906</v>
      </c>
      <c r="C34" s="736">
        <v>16577</v>
      </c>
      <c r="D34" s="486">
        <v>0</v>
      </c>
      <c r="E34" s="486">
        <v>0</v>
      </c>
      <c r="F34" s="736">
        <v>75379</v>
      </c>
      <c r="G34" s="737"/>
      <c r="H34" s="738">
        <v>526862</v>
      </c>
    </row>
    <row r="35" spans="1:8">
      <c r="A35" s="149" t="s">
        <v>99</v>
      </c>
      <c r="B35" s="736">
        <v>631488</v>
      </c>
      <c r="C35" s="736">
        <v>391217</v>
      </c>
      <c r="D35" s="736">
        <v>109106</v>
      </c>
      <c r="E35" s="486">
        <v>0</v>
      </c>
      <c r="F35" s="736">
        <v>103150</v>
      </c>
      <c r="G35" s="737"/>
      <c r="H35" s="738">
        <v>1234961</v>
      </c>
    </row>
    <row r="36" spans="1:8">
      <c r="A36" s="149" t="s">
        <v>100</v>
      </c>
      <c r="B36" s="736">
        <v>223405</v>
      </c>
      <c r="C36" s="486">
        <v>0</v>
      </c>
      <c r="D36" s="486">
        <v>0</v>
      </c>
      <c r="E36" s="736">
        <v>26864</v>
      </c>
      <c r="F36" s="736">
        <v>41657</v>
      </c>
      <c r="G36" s="737"/>
      <c r="H36" s="738">
        <v>291927</v>
      </c>
    </row>
    <row r="37" spans="1:8">
      <c r="A37" s="149" t="s">
        <v>101</v>
      </c>
      <c r="B37" s="736">
        <v>47033</v>
      </c>
      <c r="C37" s="486">
        <v>0</v>
      </c>
      <c r="D37" s="486">
        <v>0</v>
      </c>
      <c r="E37" s="486">
        <v>0</v>
      </c>
      <c r="F37" s="486">
        <v>0</v>
      </c>
      <c r="G37" s="737"/>
      <c r="H37" s="738">
        <v>47033</v>
      </c>
    </row>
    <row r="38" spans="1:8">
      <c r="A38" s="149" t="s">
        <v>102</v>
      </c>
      <c r="B38" s="736">
        <v>474963</v>
      </c>
      <c r="C38" s="736">
        <v>86200</v>
      </c>
      <c r="D38" s="736">
        <v>18026</v>
      </c>
      <c r="E38" s="486">
        <v>0</v>
      </c>
      <c r="F38" s="736">
        <v>37689</v>
      </c>
      <c r="G38" s="737"/>
      <c r="H38" s="738">
        <v>616879</v>
      </c>
    </row>
    <row r="39" spans="1:8">
      <c r="A39" s="149" t="s">
        <v>103</v>
      </c>
      <c r="B39" s="736">
        <v>253673</v>
      </c>
      <c r="C39" s="736">
        <v>39785</v>
      </c>
      <c r="D39" s="486">
        <v>0</v>
      </c>
      <c r="E39" s="486">
        <v>0</v>
      </c>
      <c r="F39" s="486">
        <v>0</v>
      </c>
      <c r="G39" s="737"/>
      <c r="H39" s="738">
        <v>293458</v>
      </c>
    </row>
    <row r="40" spans="1:8">
      <c r="A40" s="149" t="s">
        <v>104</v>
      </c>
      <c r="B40" s="736">
        <v>446687</v>
      </c>
      <c r="C40" s="736">
        <v>159139</v>
      </c>
      <c r="D40" s="736">
        <v>34155</v>
      </c>
      <c r="E40" s="486">
        <v>0</v>
      </c>
      <c r="F40" s="736">
        <v>119019</v>
      </c>
      <c r="G40" s="737"/>
      <c r="H40" s="738">
        <v>759000</v>
      </c>
    </row>
    <row r="41" spans="1:8">
      <c r="A41" s="149" t="s">
        <v>105</v>
      </c>
      <c r="B41" s="736">
        <v>141098</v>
      </c>
      <c r="C41" s="486">
        <v>0</v>
      </c>
      <c r="D41" s="486">
        <v>0</v>
      </c>
      <c r="E41" s="486">
        <v>0</v>
      </c>
      <c r="F41" s="486">
        <v>0</v>
      </c>
      <c r="G41" s="737"/>
      <c r="H41" s="738">
        <v>141098</v>
      </c>
    </row>
    <row r="42" spans="1:8">
      <c r="A42" s="149" t="s">
        <v>106</v>
      </c>
      <c r="B42" s="736">
        <v>399629</v>
      </c>
      <c r="C42" s="736">
        <v>96147</v>
      </c>
      <c r="D42" s="736">
        <v>16129</v>
      </c>
      <c r="E42" s="486">
        <v>0</v>
      </c>
      <c r="F42" s="736">
        <v>11902</v>
      </c>
      <c r="G42" s="737"/>
      <c r="H42" s="738">
        <v>523806</v>
      </c>
    </row>
    <row r="43" spans="1:8">
      <c r="A43" s="149" t="s">
        <v>107</v>
      </c>
      <c r="B43" s="736">
        <v>423103</v>
      </c>
      <c r="C43" s="736">
        <v>23208</v>
      </c>
      <c r="D43" s="736">
        <v>6641</v>
      </c>
      <c r="E43" s="486">
        <v>0</v>
      </c>
      <c r="F43" s="736">
        <v>23804</v>
      </c>
      <c r="G43" s="737"/>
      <c r="H43" s="738">
        <v>476755</v>
      </c>
    </row>
    <row r="44" spans="1:8">
      <c r="A44" s="149" t="s">
        <v>108</v>
      </c>
      <c r="B44" s="735">
        <v>783973</v>
      </c>
      <c r="C44" s="736">
        <v>222132</v>
      </c>
      <c r="D44" s="736">
        <v>40796</v>
      </c>
      <c r="E44" s="736">
        <v>64922</v>
      </c>
      <c r="F44" s="736">
        <v>517733</v>
      </c>
      <c r="G44" s="737"/>
      <c r="H44" s="739">
        <v>1629556</v>
      </c>
    </row>
    <row r="45" spans="1:8">
      <c r="A45" s="208" t="s">
        <v>109</v>
      </c>
      <c r="B45" s="98">
        <v>6287493</v>
      </c>
      <c r="C45" s="740">
        <v>1249906</v>
      </c>
      <c r="D45" s="740">
        <v>245725</v>
      </c>
      <c r="E45" s="740">
        <v>110816</v>
      </c>
      <c r="F45" s="740">
        <v>1192174</v>
      </c>
      <c r="G45" s="737"/>
      <c r="H45" s="741">
        <v>9086113</v>
      </c>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34"/>
  <sheetViews>
    <sheetView zoomScaleNormal="100" zoomScalePageLayoutView="60" workbookViewId="0">
      <selection activeCell="L28" sqref="L28"/>
    </sheetView>
  </sheetViews>
  <sheetFormatPr defaultColWidth="8.77734375" defaultRowHeight="15"/>
  <cols>
    <col min="1" max="1" width="12.109375" style="5" customWidth="1"/>
    <col min="2" max="2" width="11" style="5" customWidth="1"/>
    <col min="3" max="3" width="9" style="5" customWidth="1"/>
    <col min="4" max="4" width="10.21875" style="5" customWidth="1"/>
    <col min="5" max="5" width="8.77734375" style="5" bestFit="1" customWidth="1"/>
    <col min="6" max="6" width="11.5546875" style="5" bestFit="1" customWidth="1"/>
    <col min="7" max="17" width="8.77734375" style="5" bestFit="1" customWidth="1"/>
    <col min="18" max="18" width="9.5546875" style="5" bestFit="1" customWidth="1"/>
    <col min="19" max="16384" width="8.77734375" style="5"/>
  </cols>
  <sheetData>
    <row r="1" spans="1:29" ht="18">
      <c r="A1" s="10" t="s">
        <v>358</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row>
    <row r="2" spans="1:29">
      <c r="A2" s="876" t="s">
        <v>530</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row>
    <row r="4" spans="1:29">
      <c r="A4" s="85"/>
      <c r="B4" s="85"/>
      <c r="C4" s="85"/>
      <c r="D4" s="85"/>
      <c r="E4" s="85"/>
      <c r="F4" s="85"/>
      <c r="G4" s="85"/>
      <c r="H4" s="85"/>
      <c r="I4" s="85"/>
      <c r="J4" s="85"/>
      <c r="K4" s="85"/>
      <c r="L4" s="85"/>
      <c r="M4" s="85"/>
      <c r="N4" s="85"/>
      <c r="O4" s="876"/>
      <c r="P4" s="876"/>
      <c r="Q4" s="876"/>
      <c r="R4" s="876"/>
      <c r="S4" s="876"/>
      <c r="T4" s="876"/>
      <c r="U4" s="876"/>
      <c r="V4" s="876"/>
      <c r="W4" s="876"/>
      <c r="X4" s="876"/>
      <c r="Y4" s="876"/>
      <c r="Z4" s="876"/>
      <c r="AA4" s="876"/>
      <c r="AB4" s="876"/>
      <c r="AC4" s="876"/>
    </row>
    <row r="5" spans="1:29">
      <c r="A5" s="138" t="s">
        <v>368</v>
      </c>
      <c r="B5" s="138"/>
      <c r="C5" s="138" t="s">
        <v>369</v>
      </c>
      <c r="D5" s="138" t="s">
        <v>370</v>
      </c>
      <c r="E5" s="138" t="s">
        <v>531</v>
      </c>
      <c r="F5" s="138" t="s">
        <v>372</v>
      </c>
      <c r="G5" s="138" t="s">
        <v>373</v>
      </c>
      <c r="H5" s="138" t="s">
        <v>374</v>
      </c>
      <c r="I5" s="139"/>
      <c r="J5" s="139"/>
      <c r="K5" s="139"/>
      <c r="L5" s="139"/>
      <c r="M5" s="139"/>
      <c r="N5" s="85"/>
      <c r="O5" s="876"/>
      <c r="P5" s="876"/>
      <c r="Q5" s="876"/>
      <c r="R5" s="876"/>
      <c r="S5" s="876"/>
      <c r="T5" s="876"/>
      <c r="U5" s="876"/>
      <c r="V5" s="876"/>
      <c r="W5" s="876"/>
      <c r="X5" s="876"/>
      <c r="Y5" s="876"/>
      <c r="Z5" s="876"/>
      <c r="AA5" s="876"/>
      <c r="AB5" s="876"/>
      <c r="AC5" s="876"/>
    </row>
    <row r="6" spans="1:29">
      <c r="A6" s="140" t="s">
        <v>28</v>
      </c>
      <c r="B6" s="141"/>
      <c r="C6" s="142">
        <f>Basbelopp!C125</f>
        <v>31357.73</v>
      </c>
      <c r="D6" s="142">
        <f>Basbelopp!D125</f>
        <v>19511.47</v>
      </c>
      <c r="E6" s="142">
        <f>Basbelopp!E125</f>
        <v>13936.77</v>
      </c>
      <c r="F6" s="142">
        <f>Basbelopp!F125</f>
        <v>5574.71</v>
      </c>
      <c r="G6" s="142">
        <f>Basbelopp!G125</f>
        <v>2787.35</v>
      </c>
      <c r="H6" s="142">
        <f>Basbelopp!H125</f>
        <v>1742.1</v>
      </c>
      <c r="I6" s="139"/>
      <c r="J6" s="139"/>
      <c r="K6" s="85"/>
      <c r="L6" s="85"/>
      <c r="M6" s="85"/>
      <c r="N6" s="85"/>
      <c r="O6" s="876"/>
      <c r="P6" s="876"/>
      <c r="Q6" s="876"/>
      <c r="R6" s="876"/>
      <c r="S6" s="876"/>
      <c r="T6" s="876"/>
      <c r="U6" s="876"/>
      <c r="V6" s="876"/>
      <c r="W6" s="876"/>
      <c r="X6" s="876"/>
      <c r="Y6" s="876"/>
      <c r="Z6" s="876"/>
      <c r="AA6" s="876"/>
      <c r="AB6" s="876"/>
      <c r="AC6" s="876"/>
    </row>
    <row r="7" spans="1:29">
      <c r="A7" s="85"/>
      <c r="B7" s="85"/>
      <c r="C7" s="85"/>
      <c r="D7" s="85"/>
      <c r="E7" s="85"/>
      <c r="F7" s="85"/>
      <c r="G7" s="85"/>
      <c r="H7" s="85"/>
      <c r="I7" s="85"/>
      <c r="J7" s="85"/>
      <c r="K7" s="85"/>
      <c r="L7" s="85"/>
      <c r="M7" s="85"/>
      <c r="N7" s="85"/>
      <c r="O7" s="876"/>
      <c r="P7" s="876"/>
      <c r="Q7" s="876"/>
      <c r="R7" s="876"/>
      <c r="S7" s="876"/>
      <c r="T7" s="876"/>
      <c r="U7" s="876"/>
      <c r="V7" s="876"/>
      <c r="W7" s="876"/>
      <c r="X7" s="876"/>
      <c r="Y7" s="876"/>
      <c r="Z7" s="876"/>
      <c r="AA7" s="876"/>
      <c r="AB7" s="876"/>
      <c r="AC7" s="876"/>
    </row>
    <row r="8" spans="1:29">
      <c r="A8" s="143" t="s">
        <v>532</v>
      </c>
      <c r="B8" s="143"/>
      <c r="C8" s="105"/>
      <c r="D8" s="105"/>
      <c r="E8" s="105"/>
      <c r="F8" s="105"/>
      <c r="G8" s="105"/>
      <c r="H8" s="105"/>
      <c r="I8" s="85"/>
      <c r="J8" s="85"/>
      <c r="K8" s="85"/>
      <c r="L8" s="85"/>
      <c r="M8" s="85"/>
      <c r="N8" s="85"/>
      <c r="O8" s="876"/>
      <c r="P8" s="876"/>
      <c r="Q8" s="876"/>
      <c r="R8" s="876"/>
      <c r="S8" s="876"/>
      <c r="T8" s="876"/>
      <c r="U8" s="876"/>
      <c r="V8" s="876"/>
      <c r="W8" s="876"/>
      <c r="X8" s="876"/>
      <c r="Y8" s="876"/>
      <c r="Z8" s="876"/>
      <c r="AA8" s="876"/>
      <c r="AB8" s="876"/>
      <c r="AC8" s="876"/>
    </row>
    <row r="9" spans="1:29">
      <c r="A9" s="85" t="s">
        <v>533</v>
      </c>
      <c r="B9" s="85"/>
      <c r="C9" s="339">
        <v>0.20200000000000001</v>
      </c>
      <c r="D9" s="339">
        <v>0.20200000000000001</v>
      </c>
      <c r="E9" s="339">
        <v>0.20200000000000001</v>
      </c>
      <c r="F9" s="339">
        <v>0.20200000000000001</v>
      </c>
      <c r="G9" s="339">
        <v>0.20200000000000001</v>
      </c>
      <c r="H9" s="339">
        <v>0.20200000000000001</v>
      </c>
      <c r="I9" s="144"/>
      <c r="J9" s="85"/>
      <c r="K9" s="85"/>
      <c r="L9" s="85"/>
      <c r="M9" s="85"/>
      <c r="N9" s="85"/>
      <c r="O9" s="876"/>
      <c r="P9" s="876"/>
      <c r="Q9" s="876"/>
      <c r="R9" s="876"/>
      <c r="S9" s="876"/>
      <c r="T9" s="876"/>
      <c r="U9" s="876"/>
      <c r="V9" s="876"/>
      <c r="W9" s="876"/>
      <c r="X9" s="876"/>
      <c r="Y9" s="876"/>
      <c r="Z9" s="876"/>
      <c r="AA9" s="876"/>
      <c r="AB9" s="876"/>
      <c r="AC9" s="876"/>
    </row>
    <row r="10" spans="1:29">
      <c r="A10" s="145" t="s">
        <v>534</v>
      </c>
      <c r="B10" s="145"/>
      <c r="C10" s="340">
        <f>C9+0.14</f>
        <v>0.34200000000000003</v>
      </c>
      <c r="D10" s="340">
        <f t="shared" ref="D10:H10" si="0">D9+0.14</f>
        <v>0.34200000000000003</v>
      </c>
      <c r="E10" s="340">
        <f t="shared" si="0"/>
        <v>0.34200000000000003</v>
      </c>
      <c r="F10" s="340">
        <f t="shared" si="0"/>
        <v>0.34200000000000003</v>
      </c>
      <c r="G10" s="340">
        <f t="shared" si="0"/>
        <v>0.34200000000000003</v>
      </c>
      <c r="H10" s="340">
        <f t="shared" si="0"/>
        <v>0.34200000000000003</v>
      </c>
      <c r="I10" s="85"/>
      <c r="J10" s="85"/>
      <c r="K10" s="85"/>
      <c r="L10" s="85"/>
      <c r="M10" s="85"/>
      <c r="N10" s="85"/>
      <c r="O10" s="876"/>
      <c r="P10" s="876"/>
      <c r="Q10" s="876"/>
      <c r="R10" s="876"/>
      <c r="S10" s="876"/>
      <c r="T10" s="876"/>
      <c r="U10" s="876"/>
      <c r="V10" s="876"/>
      <c r="W10" s="876"/>
      <c r="X10" s="876"/>
      <c r="Y10" s="876"/>
      <c r="Z10" s="876"/>
      <c r="AA10" s="876"/>
      <c r="AB10" s="876"/>
      <c r="AC10" s="876"/>
    </row>
    <row r="11" spans="1:29">
      <c r="A11" s="146" t="s">
        <v>535</v>
      </c>
      <c r="B11" s="146"/>
      <c r="C11" s="341">
        <f>C9+0.14+0.05</f>
        <v>0.39200000000000002</v>
      </c>
      <c r="D11" s="341">
        <f t="shared" ref="D11:H11" si="1">D9+0.14+0.05</f>
        <v>0.39200000000000002</v>
      </c>
      <c r="E11" s="341">
        <f t="shared" si="1"/>
        <v>0.39200000000000002</v>
      </c>
      <c r="F11" s="341">
        <f t="shared" si="1"/>
        <v>0.39200000000000002</v>
      </c>
      <c r="G11" s="341">
        <f t="shared" si="1"/>
        <v>0.39200000000000002</v>
      </c>
      <c r="H11" s="341">
        <f t="shared" si="1"/>
        <v>0.39200000000000002</v>
      </c>
      <c r="I11" s="85"/>
      <c r="J11" s="85"/>
      <c r="K11" s="85"/>
      <c r="L11" s="85"/>
      <c r="M11" s="85"/>
      <c r="N11" s="85"/>
      <c r="O11" s="876"/>
      <c r="P11" s="876"/>
      <c r="Q11" s="876"/>
      <c r="R11" s="876"/>
      <c r="S11" s="876"/>
      <c r="T11" s="876"/>
      <c r="U11" s="17"/>
      <c r="V11" s="17"/>
      <c r="W11" s="17"/>
      <c r="X11" s="17"/>
      <c r="Y11" s="17"/>
      <c r="Z11" s="17"/>
      <c r="AA11" s="17"/>
      <c r="AB11" s="17"/>
      <c r="AC11" s="17"/>
    </row>
    <row r="12" spans="1:29" ht="15.75">
      <c r="A12" s="85"/>
      <c r="B12" s="85"/>
      <c r="C12" s="85"/>
      <c r="D12" s="85"/>
      <c r="E12" s="85"/>
      <c r="F12" s="85"/>
      <c r="G12" s="85"/>
      <c r="H12" s="85"/>
      <c r="I12" s="85"/>
      <c r="J12" s="85"/>
      <c r="K12" s="85"/>
      <c r="L12" s="85"/>
      <c r="M12" s="85"/>
      <c r="N12" s="85"/>
      <c r="O12" s="876"/>
      <c r="P12" s="876"/>
      <c r="Q12" s="876"/>
      <c r="R12" s="876"/>
      <c r="S12" s="876"/>
      <c r="T12" s="876"/>
      <c r="U12"/>
      <c r="V12"/>
      <c r="W12"/>
      <c r="X12"/>
      <c r="Y12"/>
      <c r="Z12"/>
      <c r="AA12"/>
      <c r="AB12"/>
      <c r="AC12"/>
    </row>
    <row r="13" spans="1:29" ht="15.75">
      <c r="A13" s="104" t="s">
        <v>4</v>
      </c>
      <c r="B13" s="85"/>
      <c r="C13" s="104"/>
      <c r="D13" s="85"/>
      <c r="E13" s="85"/>
      <c r="F13" s="85"/>
      <c r="G13" s="85"/>
      <c r="H13" s="85"/>
      <c r="I13" s="85"/>
      <c r="J13" s="85"/>
      <c r="K13" s="85"/>
      <c r="L13" s="85"/>
      <c r="M13" s="85"/>
      <c r="N13" s="85"/>
      <c r="O13" s="6"/>
      <c r="P13" s="12"/>
      <c r="Q13" s="876"/>
      <c r="R13" s="17"/>
      <c r="S13" s="17"/>
      <c r="T13" s="876"/>
      <c r="U13"/>
      <c r="V13"/>
      <c r="W13"/>
      <c r="X13"/>
      <c r="Y13"/>
      <c r="Z13"/>
      <c r="AA13"/>
      <c r="AB13"/>
      <c r="AC13"/>
    </row>
    <row r="14" spans="1:29" ht="15.75">
      <c r="A14" s="147" t="str">
        <f>Invånare!F5</f>
        <v>2024</v>
      </c>
      <c r="B14" s="148" t="s">
        <v>521</v>
      </c>
      <c r="C14" s="85"/>
      <c r="D14" s="85"/>
      <c r="E14" s="85"/>
      <c r="F14" s="85"/>
      <c r="G14" s="85"/>
      <c r="H14" s="85"/>
      <c r="I14" s="85"/>
      <c r="J14" s="85"/>
      <c r="K14" s="85"/>
      <c r="L14" s="85"/>
      <c r="M14" s="85"/>
      <c r="N14" s="149"/>
      <c r="O14" s="12"/>
      <c r="P14" s="876"/>
      <c r="Q14" s="17"/>
      <c r="R14" s="17"/>
      <c r="S14" s="876"/>
      <c r="T14"/>
      <c r="U14"/>
      <c r="V14"/>
      <c r="W14"/>
      <c r="X14"/>
      <c r="Y14"/>
      <c r="Z14"/>
      <c r="AA14"/>
      <c r="AB14"/>
      <c r="AC14" s="876"/>
    </row>
    <row r="15" spans="1:29" ht="15.75">
      <c r="A15" s="150" t="s">
        <v>93</v>
      </c>
      <c r="B15" s="151">
        <f>Invånare!F6</f>
        <v>29</v>
      </c>
      <c r="C15" s="93"/>
      <c r="D15" s="152"/>
      <c r="E15" s="85"/>
      <c r="F15" s="85"/>
      <c r="G15" s="85"/>
      <c r="H15" s="85"/>
      <c r="I15" s="85"/>
      <c r="J15" s="85"/>
      <c r="K15" s="85"/>
      <c r="L15" s="85"/>
      <c r="M15" s="85"/>
      <c r="N15" s="149"/>
      <c r="O15" s="12"/>
      <c r="P15" s="876"/>
      <c r="Q15" s="17"/>
      <c r="R15" s="17"/>
      <c r="S15" s="876"/>
      <c r="T15"/>
      <c r="U15"/>
      <c r="V15"/>
      <c r="W15"/>
      <c r="X15"/>
      <c r="Y15"/>
      <c r="Z15"/>
      <c r="AA15"/>
      <c r="AB15"/>
      <c r="AC15" s="876"/>
    </row>
    <row r="16" spans="1:29" ht="15.75">
      <c r="A16" s="149" t="s">
        <v>94</v>
      </c>
      <c r="B16" s="152">
        <f>Invånare!F7</f>
        <v>87</v>
      </c>
      <c r="C16" s="93"/>
      <c r="D16" s="85"/>
      <c r="E16" s="85"/>
      <c r="F16" s="85"/>
      <c r="G16" s="85"/>
      <c r="H16" s="85"/>
      <c r="I16" s="149"/>
      <c r="J16" s="152"/>
      <c r="K16" s="85"/>
      <c r="L16" s="85"/>
      <c r="M16" s="85"/>
      <c r="N16" s="149"/>
      <c r="O16" s="12"/>
      <c r="P16" s="876"/>
      <c r="Q16" s="17"/>
      <c r="R16" s="17"/>
      <c r="S16"/>
      <c r="T16"/>
      <c r="U16"/>
      <c r="V16"/>
      <c r="W16"/>
      <c r="X16"/>
      <c r="Y16"/>
      <c r="Z16"/>
      <c r="AA16"/>
      <c r="AB16"/>
      <c r="AC16" s="876"/>
    </row>
    <row r="17" spans="1:28" ht="15.75">
      <c r="A17" s="149" t="s">
        <v>95</v>
      </c>
      <c r="B17" s="152">
        <f>Invånare!F8</f>
        <v>322</v>
      </c>
      <c r="C17" s="93"/>
      <c r="D17" s="85"/>
      <c r="E17" s="85"/>
      <c r="F17" s="85"/>
      <c r="G17" s="85"/>
      <c r="H17" s="85"/>
      <c r="I17" s="149"/>
      <c r="J17" s="152"/>
      <c r="K17" s="85"/>
      <c r="L17" s="85"/>
      <c r="M17" s="85"/>
      <c r="N17" s="149"/>
      <c r="O17" s="12"/>
      <c r="P17" s="876"/>
      <c r="Q17" s="17"/>
      <c r="R17" s="17"/>
      <c r="S17"/>
      <c r="T17"/>
      <c r="U17"/>
      <c r="V17"/>
      <c r="W17"/>
      <c r="X17"/>
      <c r="Y17"/>
      <c r="Z17"/>
      <c r="AA17"/>
      <c r="AB17"/>
    </row>
    <row r="18" spans="1:28" ht="15.75">
      <c r="A18" s="153" t="s">
        <v>96</v>
      </c>
      <c r="B18" s="154">
        <f>Invånare!F9</f>
        <v>55</v>
      </c>
      <c r="C18" s="93"/>
      <c r="D18" s="85"/>
      <c r="E18" s="85"/>
      <c r="F18" s="85"/>
      <c r="G18" s="85"/>
      <c r="H18" s="85"/>
      <c r="I18" s="149"/>
      <c r="J18" s="152"/>
      <c r="K18" s="85"/>
      <c r="L18" s="85"/>
      <c r="M18" s="85"/>
      <c r="N18" s="149"/>
      <c r="O18" s="12"/>
      <c r="P18" s="876"/>
      <c r="Q18" s="17"/>
      <c r="R18" s="17"/>
      <c r="S18"/>
      <c r="T18"/>
      <c r="U18"/>
      <c r="V18"/>
      <c r="W18"/>
      <c r="X18"/>
      <c r="Y18"/>
      <c r="Z18"/>
      <c r="AA18"/>
      <c r="AB18"/>
    </row>
    <row r="19" spans="1:28" ht="15.75">
      <c r="A19" s="149" t="s">
        <v>97</v>
      </c>
      <c r="B19" s="152">
        <f>Invånare!F10</f>
        <v>56</v>
      </c>
      <c r="C19" s="93"/>
      <c r="D19" s="85"/>
      <c r="E19" s="85"/>
      <c r="F19" s="85"/>
      <c r="G19" s="85"/>
      <c r="H19" s="85"/>
      <c r="I19" s="149"/>
      <c r="J19" s="152"/>
      <c r="K19" s="85"/>
      <c r="L19" s="85"/>
      <c r="M19" s="85"/>
      <c r="N19" s="149"/>
      <c r="O19" s="12"/>
      <c r="P19" s="876"/>
      <c r="Q19" s="17"/>
      <c r="R19" s="17"/>
      <c r="S19"/>
      <c r="T19"/>
      <c r="U19"/>
      <c r="V19"/>
      <c r="W19"/>
      <c r="X19"/>
      <c r="Y19"/>
      <c r="Z19"/>
      <c r="AA19"/>
      <c r="AB19"/>
    </row>
    <row r="20" spans="1:28" ht="15.75">
      <c r="A20" s="149" t="s">
        <v>98</v>
      </c>
      <c r="B20" s="152">
        <f>Invånare!F11</f>
        <v>190</v>
      </c>
      <c r="C20" s="93"/>
      <c r="D20" s="85"/>
      <c r="E20" s="85"/>
      <c r="F20" s="85"/>
      <c r="G20" s="85"/>
      <c r="H20" s="85"/>
      <c r="I20" s="149"/>
      <c r="J20" s="152"/>
      <c r="K20" s="85"/>
      <c r="L20" s="85"/>
      <c r="M20" s="85"/>
      <c r="N20" s="149"/>
      <c r="O20" s="12"/>
      <c r="P20" s="876"/>
      <c r="Q20" s="17"/>
      <c r="R20" s="17"/>
      <c r="S20"/>
      <c r="T20"/>
      <c r="U20"/>
      <c r="V20"/>
      <c r="W20"/>
      <c r="X20"/>
      <c r="Y20"/>
      <c r="Z20"/>
      <c r="AA20"/>
      <c r="AB20"/>
    </row>
    <row r="21" spans="1:28" ht="15.75">
      <c r="A21" s="149" t="s">
        <v>99</v>
      </c>
      <c r="B21" s="152">
        <f>Invånare!F12</f>
        <v>781</v>
      </c>
      <c r="C21" s="93"/>
      <c r="D21" s="85"/>
      <c r="E21" s="85"/>
      <c r="F21" s="85"/>
      <c r="G21" s="85"/>
      <c r="H21" s="85"/>
      <c r="I21" s="149"/>
      <c r="J21" s="152"/>
      <c r="K21" s="85"/>
      <c r="L21" s="85"/>
      <c r="M21" s="85"/>
      <c r="N21" s="149"/>
      <c r="O21" s="12"/>
      <c r="P21" s="876"/>
      <c r="Q21" s="17"/>
      <c r="R21" s="17"/>
      <c r="S21"/>
      <c r="T21"/>
      <c r="U21"/>
      <c r="V21"/>
      <c r="W21"/>
      <c r="X21"/>
      <c r="Y21"/>
      <c r="Z21"/>
      <c r="AA21"/>
      <c r="AB21"/>
    </row>
    <row r="22" spans="1:28" ht="15.75">
      <c r="A22" s="150" t="s">
        <v>100</v>
      </c>
      <c r="B22" s="151">
        <f>Invånare!F13</f>
        <v>18</v>
      </c>
      <c r="C22" s="93"/>
      <c r="D22" s="85"/>
      <c r="E22" s="85"/>
      <c r="F22" s="85"/>
      <c r="G22" s="85"/>
      <c r="H22" s="85"/>
      <c r="I22" s="149"/>
      <c r="J22" s="152"/>
      <c r="K22" s="85"/>
      <c r="L22" s="85"/>
      <c r="M22" s="85"/>
      <c r="N22" s="149"/>
      <c r="O22" s="12"/>
      <c r="P22" s="876"/>
      <c r="Q22" s="17"/>
      <c r="R22" s="17"/>
      <c r="S22"/>
      <c r="T22"/>
      <c r="U22"/>
      <c r="V22"/>
      <c r="W22"/>
      <c r="X22"/>
      <c r="Y22"/>
      <c r="Z22"/>
      <c r="AA22"/>
      <c r="AB22"/>
    </row>
    <row r="23" spans="1:28" ht="15.75">
      <c r="A23" s="150" t="s">
        <v>101</v>
      </c>
      <c r="B23" s="151">
        <f>Invånare!F14</f>
        <v>2</v>
      </c>
      <c r="C23" s="93"/>
      <c r="D23" s="85"/>
      <c r="E23" s="85"/>
      <c r="F23" s="85"/>
      <c r="G23" s="85"/>
      <c r="H23" s="85"/>
      <c r="I23" s="149"/>
      <c r="J23" s="152"/>
      <c r="K23" s="85"/>
      <c r="L23" s="85"/>
      <c r="M23" s="85"/>
      <c r="N23" s="149"/>
      <c r="O23" s="12"/>
      <c r="P23" s="876"/>
      <c r="Q23" s="17"/>
      <c r="R23" s="17"/>
      <c r="S23"/>
      <c r="T23"/>
      <c r="U23"/>
      <c r="V23"/>
      <c r="W23"/>
      <c r="X23"/>
      <c r="Y23"/>
      <c r="Z23"/>
      <c r="AA23"/>
      <c r="AB23"/>
    </row>
    <row r="24" spans="1:28" ht="15.75">
      <c r="A24" s="149" t="s">
        <v>102</v>
      </c>
      <c r="B24" s="152">
        <f>Invånare!F15</f>
        <v>322</v>
      </c>
      <c r="C24" s="93"/>
      <c r="D24" s="85"/>
      <c r="E24" s="85"/>
      <c r="F24" s="85"/>
      <c r="G24" s="85"/>
      <c r="H24" s="85"/>
      <c r="I24" s="149"/>
      <c r="J24" s="152"/>
      <c r="K24" s="85"/>
      <c r="L24" s="85"/>
      <c r="M24" s="85"/>
      <c r="N24" s="149"/>
      <c r="O24" s="12"/>
      <c r="P24" s="876"/>
      <c r="Q24" s="17"/>
      <c r="R24" s="17"/>
      <c r="S24"/>
      <c r="T24"/>
      <c r="U24"/>
      <c r="V24"/>
      <c r="W24"/>
      <c r="X24"/>
      <c r="Y24"/>
      <c r="Z24"/>
      <c r="AA24"/>
      <c r="AB24"/>
    </row>
    <row r="25" spans="1:28" ht="15.75">
      <c r="A25" s="149" t="s">
        <v>103</v>
      </c>
      <c r="B25" s="152">
        <f>Invånare!F16</f>
        <v>35</v>
      </c>
      <c r="C25" s="93"/>
      <c r="D25" s="85"/>
      <c r="E25" s="85"/>
      <c r="F25" s="85"/>
      <c r="G25" s="85"/>
      <c r="H25" s="85"/>
      <c r="I25" s="149"/>
      <c r="J25" s="152"/>
      <c r="K25" s="85"/>
      <c r="L25" s="85"/>
      <c r="M25" s="85"/>
      <c r="N25" s="149"/>
      <c r="O25" s="12"/>
      <c r="P25" s="876"/>
      <c r="Q25" s="17"/>
      <c r="R25" s="17"/>
      <c r="S25"/>
      <c r="T25"/>
      <c r="U25"/>
      <c r="V25"/>
      <c r="W25"/>
      <c r="X25"/>
      <c r="Y25"/>
      <c r="Z25"/>
      <c r="AA25"/>
      <c r="AB25"/>
    </row>
    <row r="26" spans="1:28" ht="15.75">
      <c r="A26" s="149" t="s">
        <v>104</v>
      </c>
      <c r="B26" s="152">
        <f>Invånare!F17</f>
        <v>221</v>
      </c>
      <c r="C26" s="93"/>
      <c r="D26" s="85"/>
      <c r="E26" s="85"/>
      <c r="F26" s="85"/>
      <c r="G26" s="85"/>
      <c r="H26" s="85"/>
      <c r="I26" s="149"/>
      <c r="J26" s="152"/>
      <c r="K26" s="85"/>
      <c r="L26" s="85"/>
      <c r="M26" s="85"/>
      <c r="N26" s="149"/>
      <c r="O26" s="12"/>
      <c r="P26" s="876"/>
      <c r="Q26" s="17"/>
      <c r="R26" s="17"/>
      <c r="S26"/>
      <c r="T26"/>
      <c r="U26"/>
      <c r="V26"/>
      <c r="W26"/>
      <c r="X26"/>
      <c r="Y26"/>
      <c r="Z26"/>
      <c r="AA26"/>
      <c r="AB26"/>
    </row>
    <row r="27" spans="1:28" ht="15.75">
      <c r="A27" s="150" t="s">
        <v>105</v>
      </c>
      <c r="B27" s="151">
        <f>Invånare!F18</f>
        <v>16</v>
      </c>
      <c r="C27" s="93"/>
      <c r="D27" s="85"/>
      <c r="E27" s="85"/>
      <c r="F27" s="85"/>
      <c r="G27" s="85"/>
      <c r="H27" s="85"/>
      <c r="I27" s="149"/>
      <c r="J27" s="152"/>
      <c r="K27" s="85"/>
      <c r="L27" s="85"/>
      <c r="M27" s="85"/>
      <c r="N27" s="149"/>
      <c r="O27" s="12"/>
      <c r="P27" s="876"/>
      <c r="Q27" s="17"/>
      <c r="R27" s="17"/>
      <c r="S27"/>
      <c r="T27"/>
      <c r="U27"/>
      <c r="V27"/>
      <c r="W27"/>
      <c r="X27"/>
      <c r="Y27"/>
      <c r="Z27"/>
      <c r="AA27"/>
      <c r="AB27"/>
    </row>
    <row r="28" spans="1:28" ht="15.75">
      <c r="A28" s="149" t="s">
        <v>106</v>
      </c>
      <c r="B28" s="152">
        <f>Invånare!F19</f>
        <v>101</v>
      </c>
      <c r="C28" s="93"/>
      <c r="D28" s="85"/>
      <c r="E28" s="85"/>
      <c r="F28" s="85"/>
      <c r="G28" s="85"/>
      <c r="H28" s="85"/>
      <c r="I28" s="149"/>
      <c r="J28" s="152"/>
      <c r="K28" s="85"/>
      <c r="L28" s="85"/>
      <c r="M28" s="85"/>
      <c r="N28" s="149"/>
      <c r="O28" s="13"/>
      <c r="P28" s="876"/>
      <c r="Q28" s="17"/>
      <c r="R28" s="17"/>
      <c r="S28"/>
      <c r="T28"/>
      <c r="U28"/>
      <c r="V28"/>
      <c r="W28"/>
      <c r="X28"/>
      <c r="Y28"/>
      <c r="Z28"/>
      <c r="AA28"/>
      <c r="AB28"/>
    </row>
    <row r="29" spans="1:28">
      <c r="A29" s="153" t="s">
        <v>107</v>
      </c>
      <c r="B29" s="154">
        <f>Invånare!F20</f>
        <v>36</v>
      </c>
      <c r="C29" s="93"/>
      <c r="D29" s="85"/>
      <c r="E29" s="85"/>
      <c r="F29" s="85"/>
      <c r="G29" s="85"/>
      <c r="H29" s="85"/>
      <c r="I29" s="149"/>
      <c r="J29" s="152"/>
      <c r="K29" s="85"/>
      <c r="L29" s="85"/>
      <c r="M29" s="85"/>
      <c r="N29" s="53"/>
      <c r="O29" s="876"/>
      <c r="P29" s="876"/>
      <c r="Q29" s="876"/>
      <c r="R29" s="876"/>
      <c r="S29" s="876"/>
      <c r="T29" s="876"/>
      <c r="U29" s="876"/>
      <c r="V29" s="876"/>
      <c r="W29" s="876"/>
      <c r="X29" s="876"/>
      <c r="Y29" s="876"/>
      <c r="Z29" s="876"/>
      <c r="AA29" s="876"/>
      <c r="AB29" s="876"/>
    </row>
    <row r="30" spans="1:28">
      <c r="A30" s="155" t="s">
        <v>108</v>
      </c>
      <c r="B30" s="156">
        <f>Invånare!F21</f>
        <v>1249</v>
      </c>
      <c r="C30" s="93"/>
      <c r="D30" s="85"/>
      <c r="E30" s="85"/>
      <c r="F30" s="85"/>
      <c r="G30" s="85"/>
      <c r="H30" s="85"/>
      <c r="I30" s="149"/>
      <c r="J30" s="152"/>
      <c r="K30" s="85"/>
      <c r="L30" s="85"/>
      <c r="M30" s="85"/>
      <c r="N30" s="85"/>
      <c r="O30" s="876"/>
      <c r="P30" s="876"/>
      <c r="Q30" s="876"/>
      <c r="R30" s="876"/>
      <c r="S30" s="876"/>
      <c r="T30" s="876"/>
      <c r="U30" s="876"/>
      <c r="V30" s="876"/>
      <c r="W30" s="876"/>
      <c r="X30" s="876"/>
      <c r="Y30" s="876"/>
      <c r="Z30" s="876"/>
      <c r="AA30" s="876"/>
      <c r="AB30" s="876"/>
    </row>
    <row r="31" spans="1:28">
      <c r="A31" s="149" t="s">
        <v>109</v>
      </c>
      <c r="B31" s="157">
        <f>SUM(B15:B30)</f>
        <v>3520</v>
      </c>
      <c r="C31" s="93"/>
      <c r="D31" s="85"/>
      <c r="E31" s="85"/>
      <c r="F31" s="85"/>
      <c r="G31" s="85"/>
      <c r="H31" s="85"/>
      <c r="I31" s="149"/>
      <c r="J31" s="157"/>
      <c r="K31" s="85"/>
      <c r="L31" s="85"/>
      <c r="M31" s="85"/>
      <c r="N31" s="85"/>
      <c r="O31" s="876"/>
      <c r="P31" s="876"/>
      <c r="Q31" s="876"/>
      <c r="R31" s="876"/>
      <c r="S31" s="876"/>
      <c r="T31" s="876"/>
      <c r="U31" s="876"/>
      <c r="V31" s="876"/>
      <c r="W31" s="876"/>
      <c r="X31" s="876"/>
      <c r="Y31" s="876"/>
      <c r="Z31" s="876"/>
      <c r="AA31" s="876"/>
      <c r="AB31" s="876"/>
    </row>
    <row r="32" spans="1:28">
      <c r="A32" s="85"/>
      <c r="B32" s="21"/>
      <c r="C32" s="85"/>
      <c r="D32" s="85"/>
      <c r="E32" s="85"/>
      <c r="F32" s="85"/>
      <c r="G32" s="85"/>
      <c r="H32" s="85"/>
      <c r="I32" s="85"/>
      <c r="J32" s="85"/>
      <c r="K32" s="85"/>
      <c r="L32" s="85"/>
      <c r="M32" s="85"/>
      <c r="N32" s="85"/>
      <c r="O32" s="876"/>
      <c r="P32" s="876"/>
      <c r="Q32" s="876"/>
      <c r="R32" s="876"/>
      <c r="S32" s="876"/>
      <c r="T32" s="876"/>
      <c r="U32" s="876"/>
      <c r="V32" s="876"/>
      <c r="W32" s="876"/>
      <c r="X32" s="876"/>
      <c r="Y32" s="876"/>
      <c r="Z32" s="876"/>
      <c r="AA32" s="876"/>
      <c r="AB32" s="876"/>
    </row>
    <row r="33" spans="1:18">
      <c r="A33" s="85"/>
      <c r="B33" s="85"/>
      <c r="C33" s="85"/>
      <c r="D33" s="85"/>
      <c r="E33" s="85"/>
      <c r="F33" s="85"/>
      <c r="G33" s="85"/>
      <c r="H33" s="85"/>
      <c r="I33" s="85"/>
      <c r="J33" s="85"/>
      <c r="K33" s="85"/>
      <c r="L33" s="85"/>
      <c r="M33" s="85"/>
      <c r="N33" s="85"/>
      <c r="O33" s="876"/>
      <c r="P33" s="876"/>
      <c r="Q33" s="876"/>
      <c r="R33" s="876"/>
    </row>
    <row r="34" spans="1:18">
      <c r="A34" s="231"/>
      <c r="B34" s="85"/>
      <c r="C34" s="85"/>
      <c r="D34" s="85"/>
      <c r="E34" s="85"/>
      <c r="F34" s="231"/>
      <c r="G34" s="85"/>
      <c r="H34" s="85"/>
      <c r="I34" s="85"/>
      <c r="J34" s="85"/>
      <c r="K34" s="231"/>
      <c r="L34" s="85"/>
      <c r="M34" s="85"/>
      <c r="N34" s="85"/>
      <c r="O34" s="876"/>
      <c r="P34" s="876"/>
      <c r="Q34" s="876"/>
      <c r="R34" s="876"/>
    </row>
    <row r="35" spans="1:18">
      <c r="A35" s="176"/>
      <c r="B35" s="175">
        <v>2025</v>
      </c>
      <c r="C35" s="176"/>
      <c r="D35" s="176"/>
      <c r="E35" s="176"/>
      <c r="F35" s="176"/>
      <c r="G35" s="176"/>
      <c r="H35" s="176"/>
      <c r="I35" s="176"/>
      <c r="J35" s="176"/>
      <c r="K35" s="176"/>
      <c r="L35" s="176"/>
      <c r="M35" s="176"/>
      <c r="N35" s="85"/>
      <c r="O35" s="876"/>
      <c r="P35" s="876"/>
      <c r="Q35" s="876"/>
      <c r="R35" s="876"/>
    </row>
    <row r="36" spans="1:18" ht="15.75" thickBot="1">
      <c r="A36" s="158"/>
      <c r="B36" s="159" t="s">
        <v>67</v>
      </c>
      <c r="C36" s="159"/>
      <c r="D36" s="110" t="s">
        <v>368</v>
      </c>
      <c r="E36" s="160"/>
      <c r="F36" s="161" t="s">
        <v>369</v>
      </c>
      <c r="G36" s="161" t="s">
        <v>370</v>
      </c>
      <c r="H36" s="161" t="s">
        <v>371</v>
      </c>
      <c r="I36" s="161" t="s">
        <v>372</v>
      </c>
      <c r="J36" s="161" t="s">
        <v>373</v>
      </c>
      <c r="K36" s="161" t="s">
        <v>374</v>
      </c>
      <c r="L36" s="162"/>
      <c r="M36" s="158"/>
      <c r="N36" s="85"/>
      <c r="O36" s="876"/>
      <c r="P36" s="876"/>
      <c r="Q36" s="876"/>
      <c r="R36" s="876"/>
    </row>
    <row r="37" spans="1:18" ht="16.5" thickTop="1" thickBot="1">
      <c r="A37" s="163"/>
      <c r="B37" s="85"/>
      <c r="C37" s="85"/>
      <c r="D37" s="164" t="s">
        <v>536</v>
      </c>
      <c r="E37" s="165"/>
      <c r="F37" s="166">
        <f>B15</f>
        <v>29</v>
      </c>
      <c r="G37" s="166">
        <v>0</v>
      </c>
      <c r="H37" s="166">
        <v>0</v>
      </c>
      <c r="I37" s="166">
        <v>0</v>
      </c>
      <c r="J37" s="166">
        <v>0</v>
      </c>
      <c r="K37" s="166">
        <v>0</v>
      </c>
      <c r="L37" s="165"/>
      <c r="M37" s="101">
        <f>B15-(SUM(F37:K37))</f>
        <v>0</v>
      </c>
      <c r="N37" s="85"/>
      <c r="O37" s="876"/>
      <c r="P37" s="876"/>
      <c r="Q37" s="876"/>
      <c r="R37" s="876"/>
    </row>
    <row r="38" spans="1:18" ht="15.75" thickTop="1">
      <c r="A38" s="167" t="s">
        <v>93</v>
      </c>
      <c r="B38" s="166">
        <f>SUM(F38:K38)</f>
        <v>909374.17</v>
      </c>
      <c r="C38" s="166"/>
      <c r="D38" s="164" t="s">
        <v>537</v>
      </c>
      <c r="E38" s="165"/>
      <c r="F38" s="166">
        <f>F37*$C$6</f>
        <v>909374.17</v>
      </c>
      <c r="G38" s="166">
        <f>G37*$D$6</f>
        <v>0</v>
      </c>
      <c r="H38" s="166">
        <f>H37*$E$6</f>
        <v>0</v>
      </c>
      <c r="I38" s="166">
        <f>I37*$F$6</f>
        <v>0</v>
      </c>
      <c r="J38" s="166">
        <f>J37*$G$6</f>
        <v>0</v>
      </c>
      <c r="K38" s="166">
        <f>K37*$H$6</f>
        <v>0</v>
      </c>
      <c r="L38" s="168"/>
      <c r="M38" s="85"/>
      <c r="N38" s="85"/>
      <c r="O38" s="876"/>
      <c r="P38" s="876"/>
      <c r="Q38" s="876"/>
      <c r="R38" s="876"/>
    </row>
    <row r="39" spans="1:18">
      <c r="A39" s="163"/>
      <c r="B39" s="165"/>
      <c r="C39" s="165"/>
      <c r="D39" s="164" t="s">
        <v>538</v>
      </c>
      <c r="E39" s="165"/>
      <c r="F39" s="341">
        <f>$C$11</f>
        <v>0.39200000000000002</v>
      </c>
      <c r="G39" s="341">
        <f>$D$11</f>
        <v>0.39200000000000002</v>
      </c>
      <c r="H39" s="341">
        <f>$E$11</f>
        <v>0.39200000000000002</v>
      </c>
      <c r="I39" s="341">
        <f>$F$11</f>
        <v>0.39200000000000002</v>
      </c>
      <c r="J39" s="341">
        <f>$G$11</f>
        <v>0.39200000000000002</v>
      </c>
      <c r="K39" s="341">
        <f>$H$11</f>
        <v>0.39200000000000002</v>
      </c>
      <c r="L39" s="165"/>
      <c r="M39" s="85"/>
      <c r="N39" s="85"/>
      <c r="O39" s="876"/>
      <c r="P39" s="876"/>
      <c r="Q39" s="876"/>
      <c r="R39" s="876"/>
    </row>
    <row r="40" spans="1:18">
      <c r="A40" s="169"/>
      <c r="B40" s="310">
        <f>ROUND(SUM(F40:K40),2)</f>
        <v>356474.67</v>
      </c>
      <c r="C40" s="170"/>
      <c r="D40" s="171" t="s">
        <v>539</v>
      </c>
      <c r="E40" s="172"/>
      <c r="F40" s="173">
        <f>F38*F39</f>
        <v>356474.67464000004</v>
      </c>
      <c r="G40" s="173">
        <f t="shared" ref="G40:K40" si="2">G38*G39</f>
        <v>0</v>
      </c>
      <c r="H40" s="173">
        <f t="shared" si="2"/>
        <v>0</v>
      </c>
      <c r="I40" s="173">
        <f t="shared" si="2"/>
        <v>0</v>
      </c>
      <c r="J40" s="173">
        <f t="shared" si="2"/>
        <v>0</v>
      </c>
      <c r="K40" s="173">
        <f t="shared" si="2"/>
        <v>0</v>
      </c>
      <c r="L40" s="172"/>
      <c r="M40" s="172"/>
      <c r="N40" s="85"/>
      <c r="O40" s="876"/>
      <c r="P40" s="876"/>
      <c r="Q40" s="876"/>
      <c r="R40" s="876"/>
    </row>
    <row r="41" spans="1:18">
      <c r="A41" s="85"/>
      <c r="B41" s="85"/>
      <c r="C41" s="85"/>
      <c r="D41" s="85"/>
      <c r="E41" s="85"/>
      <c r="F41" s="85"/>
      <c r="G41" s="85"/>
      <c r="H41" s="85"/>
      <c r="I41" s="85"/>
      <c r="J41" s="85"/>
      <c r="K41" s="85"/>
      <c r="L41" s="85"/>
      <c r="M41" s="85"/>
      <c r="N41" s="85"/>
      <c r="O41" s="876"/>
      <c r="P41" s="876"/>
      <c r="Q41" s="876"/>
      <c r="R41" s="16"/>
    </row>
    <row r="42" spans="1:18" ht="15.75" thickBot="1">
      <c r="A42" s="158"/>
      <c r="B42" s="159" t="s">
        <v>67</v>
      </c>
      <c r="C42" s="159"/>
      <c r="D42" s="110" t="s">
        <v>368</v>
      </c>
      <c r="E42" s="160"/>
      <c r="F42" s="161" t="s">
        <v>369</v>
      </c>
      <c r="G42" s="161" t="s">
        <v>370</v>
      </c>
      <c r="H42" s="161" t="s">
        <v>371</v>
      </c>
      <c r="I42" s="161" t="s">
        <v>372</v>
      </c>
      <c r="J42" s="161" t="s">
        <v>373</v>
      </c>
      <c r="K42" s="161" t="s">
        <v>374</v>
      </c>
      <c r="L42" s="162"/>
      <c r="M42" s="158"/>
      <c r="N42" s="85"/>
      <c r="O42" s="876"/>
      <c r="P42" s="876"/>
      <c r="Q42" s="876"/>
      <c r="R42" s="876"/>
    </row>
    <row r="43" spans="1:18" ht="16.5" thickTop="1" thickBot="1">
      <c r="A43" s="163"/>
      <c r="B43" s="85"/>
      <c r="C43" s="85"/>
      <c r="D43" s="164" t="s">
        <v>536</v>
      </c>
      <c r="E43" s="165"/>
      <c r="F43" s="166">
        <v>40</v>
      </c>
      <c r="G43" s="166">
        <v>20</v>
      </c>
      <c r="H43" s="166">
        <v>20</v>
      </c>
      <c r="I43" s="166">
        <v>7</v>
      </c>
      <c r="J43" s="166">
        <v>0</v>
      </c>
      <c r="K43" s="166">
        <v>0</v>
      </c>
      <c r="L43" s="165"/>
      <c r="M43" s="101">
        <f>B16-(SUM(F43:K43))</f>
        <v>0</v>
      </c>
      <c r="N43" s="85"/>
      <c r="O43" s="876"/>
      <c r="P43" s="876"/>
      <c r="Q43" s="876"/>
      <c r="R43" s="876"/>
    </row>
    <row r="44" spans="1:18" ht="15.75" thickTop="1">
      <c r="A44" s="149" t="s">
        <v>94</v>
      </c>
      <c r="B44" s="166">
        <f>SUM(F44:K44)</f>
        <v>1962296.97</v>
      </c>
      <c r="C44" s="166"/>
      <c r="D44" s="164" t="s">
        <v>537</v>
      </c>
      <c r="E44" s="165"/>
      <c r="F44" s="166">
        <f>F43*$C$6</f>
        <v>1254309.2</v>
      </c>
      <c r="G44" s="166">
        <f>G43*$D$6</f>
        <v>390229.4</v>
      </c>
      <c r="H44" s="166">
        <f>H43*$E$6</f>
        <v>278735.40000000002</v>
      </c>
      <c r="I44" s="166">
        <f>I43*$F$6</f>
        <v>39022.97</v>
      </c>
      <c r="J44" s="166">
        <f>J43*$G$6</f>
        <v>0</v>
      </c>
      <c r="K44" s="166">
        <f>K43*$H$6</f>
        <v>0</v>
      </c>
      <c r="L44" s="168"/>
      <c r="M44" s="85"/>
      <c r="N44" s="85"/>
      <c r="O44" s="876"/>
      <c r="P44" s="876"/>
      <c r="Q44" s="876"/>
      <c r="R44" s="876"/>
    </row>
    <row r="45" spans="1:18">
      <c r="A45" s="163"/>
      <c r="B45" s="165"/>
      <c r="C45" s="165"/>
      <c r="D45" s="164" t="s">
        <v>538</v>
      </c>
      <c r="E45" s="165"/>
      <c r="F45" s="339">
        <f>$C$9</f>
        <v>0.20200000000000001</v>
      </c>
      <c r="G45" s="339">
        <f>$D$9</f>
        <v>0.20200000000000001</v>
      </c>
      <c r="H45" s="339">
        <f>$E$9</f>
        <v>0.20200000000000001</v>
      </c>
      <c r="I45" s="339">
        <f>$F$9</f>
        <v>0.20200000000000001</v>
      </c>
      <c r="J45" s="339">
        <f>$G$9</f>
        <v>0.20200000000000001</v>
      </c>
      <c r="K45" s="339">
        <f>$H$9</f>
        <v>0.20200000000000001</v>
      </c>
      <c r="L45" s="165"/>
      <c r="M45" s="85"/>
      <c r="N45" s="85"/>
      <c r="O45" s="876"/>
      <c r="P45" s="876"/>
      <c r="Q45" s="876"/>
      <c r="R45" s="876"/>
    </row>
    <row r="46" spans="1:18">
      <c r="A46" s="169"/>
      <c r="B46" s="310">
        <f>ROUND(SUM(F46:K46),2)</f>
        <v>396383.99</v>
      </c>
      <c r="C46" s="170"/>
      <c r="D46" s="171" t="s">
        <v>539</v>
      </c>
      <c r="E46" s="172"/>
      <c r="F46" s="173">
        <f>F44*F45</f>
        <v>253370.4584</v>
      </c>
      <c r="G46" s="173">
        <f t="shared" ref="G46:K46" si="3">G44*G45</f>
        <v>78826.338800000012</v>
      </c>
      <c r="H46" s="173">
        <f t="shared" si="3"/>
        <v>56304.550800000012</v>
      </c>
      <c r="I46" s="173">
        <f t="shared" si="3"/>
        <v>7882.6399400000009</v>
      </c>
      <c r="J46" s="173">
        <f t="shared" si="3"/>
        <v>0</v>
      </c>
      <c r="K46" s="173">
        <f t="shared" si="3"/>
        <v>0</v>
      </c>
      <c r="L46" s="172"/>
      <c r="M46" s="172"/>
      <c r="N46" s="85"/>
      <c r="O46" s="876"/>
      <c r="P46" s="876"/>
      <c r="Q46" s="876"/>
      <c r="R46" s="876"/>
    </row>
    <row r="47" spans="1:18">
      <c r="A47" s="85"/>
      <c r="B47" s="85"/>
      <c r="C47" s="85"/>
      <c r="D47" s="85"/>
      <c r="E47" s="85"/>
      <c r="F47" s="85"/>
      <c r="G47" s="85"/>
      <c r="H47" s="85"/>
      <c r="I47" s="85"/>
      <c r="J47" s="85"/>
      <c r="K47" s="85"/>
      <c r="L47" s="85"/>
      <c r="M47" s="85"/>
      <c r="N47" s="85"/>
      <c r="O47" s="876"/>
      <c r="P47" s="876"/>
      <c r="Q47" s="876"/>
      <c r="R47" s="876"/>
    </row>
    <row r="48" spans="1:18" ht="15.75" thickBot="1">
      <c r="A48" s="85"/>
      <c r="B48" s="174" t="s">
        <v>67</v>
      </c>
      <c r="C48" s="174"/>
      <c r="D48" s="164" t="s">
        <v>368</v>
      </c>
      <c r="E48" s="165"/>
      <c r="F48" s="139" t="s">
        <v>369</v>
      </c>
      <c r="G48" s="139" t="s">
        <v>370</v>
      </c>
      <c r="H48" s="139" t="s">
        <v>371</v>
      </c>
      <c r="I48" s="139" t="s">
        <v>372</v>
      </c>
      <c r="J48" s="139" t="s">
        <v>373</v>
      </c>
      <c r="K48" s="139" t="s">
        <v>374</v>
      </c>
      <c r="L48" s="85"/>
      <c r="M48" s="85"/>
      <c r="N48" s="85"/>
      <c r="O48" s="876"/>
      <c r="P48" s="876"/>
      <c r="Q48" s="876"/>
      <c r="R48" s="876"/>
    </row>
    <row r="49" spans="1:14" ht="16.5" thickTop="1" thickBot="1">
      <c r="A49" s="163"/>
      <c r="B49" s="85"/>
      <c r="C49" s="85"/>
      <c r="D49" s="164" t="s">
        <v>536</v>
      </c>
      <c r="E49" s="165"/>
      <c r="F49" s="166">
        <v>40</v>
      </c>
      <c r="G49" s="166">
        <v>20</v>
      </c>
      <c r="H49" s="166">
        <v>20</v>
      </c>
      <c r="I49" s="166">
        <v>20</v>
      </c>
      <c r="J49" s="166">
        <v>50</v>
      </c>
      <c r="K49" s="166">
        <v>172</v>
      </c>
      <c r="L49" s="85"/>
      <c r="M49" s="101">
        <f>B17-(SUM(F49:K49))</f>
        <v>0</v>
      </c>
      <c r="N49" s="85"/>
    </row>
    <row r="50" spans="1:14" ht="15.75" thickTop="1">
      <c r="A50" s="149" t="s">
        <v>95</v>
      </c>
      <c r="B50" s="166">
        <f>SUM(F50:K50)</f>
        <v>2473776.9000000004</v>
      </c>
      <c r="C50" s="166"/>
      <c r="D50" s="164" t="s">
        <v>537</v>
      </c>
      <c r="E50" s="165"/>
      <c r="F50" s="166">
        <f>F49*$C$6</f>
        <v>1254309.2</v>
      </c>
      <c r="G50" s="166">
        <f>G49*$D$6</f>
        <v>390229.4</v>
      </c>
      <c r="H50" s="166">
        <f>H49*$E$6</f>
        <v>278735.40000000002</v>
      </c>
      <c r="I50" s="166">
        <f>I49*$F$6</f>
        <v>111494.2</v>
      </c>
      <c r="J50" s="166">
        <f>J49*$G$6</f>
        <v>139367.5</v>
      </c>
      <c r="K50" s="166">
        <f>K49*$H$6</f>
        <v>299641.2</v>
      </c>
      <c r="L50" s="85"/>
      <c r="M50" s="85"/>
      <c r="N50" s="85"/>
    </row>
    <row r="51" spans="1:14">
      <c r="A51" s="163"/>
      <c r="B51" s="165"/>
      <c r="C51" s="165"/>
      <c r="D51" s="164" t="s">
        <v>538</v>
      </c>
      <c r="E51" s="165"/>
      <c r="F51" s="339">
        <f>$C$9</f>
        <v>0.20200000000000001</v>
      </c>
      <c r="G51" s="339">
        <f>$D$9</f>
        <v>0.20200000000000001</v>
      </c>
      <c r="H51" s="339">
        <f>$E$9</f>
        <v>0.20200000000000001</v>
      </c>
      <c r="I51" s="339">
        <f>$F$9</f>
        <v>0.20200000000000001</v>
      </c>
      <c r="J51" s="339">
        <f>$G$9</f>
        <v>0.20200000000000001</v>
      </c>
      <c r="K51" s="339">
        <f>$H$9</f>
        <v>0.20200000000000001</v>
      </c>
      <c r="L51" s="85"/>
      <c r="M51" s="85"/>
      <c r="N51" s="85"/>
    </row>
    <row r="52" spans="1:14">
      <c r="A52" s="169"/>
      <c r="B52" s="310">
        <f>ROUND(SUM(F52:K52),2)</f>
        <v>499702.93</v>
      </c>
      <c r="C52" s="170"/>
      <c r="D52" s="171" t="s">
        <v>539</v>
      </c>
      <c r="E52" s="172"/>
      <c r="F52" s="173">
        <f>F50*F51</f>
        <v>253370.4584</v>
      </c>
      <c r="G52" s="173">
        <f t="shared" ref="G52:K52" si="4">G50*G51</f>
        <v>78826.338800000012</v>
      </c>
      <c r="H52" s="173">
        <f t="shared" si="4"/>
        <v>56304.550800000012</v>
      </c>
      <c r="I52" s="173">
        <f t="shared" si="4"/>
        <v>22521.828400000002</v>
      </c>
      <c r="J52" s="173">
        <f t="shared" si="4"/>
        <v>28152.235000000001</v>
      </c>
      <c r="K52" s="173">
        <f t="shared" si="4"/>
        <v>60527.522400000009</v>
      </c>
      <c r="L52" s="172"/>
      <c r="M52" s="172"/>
      <c r="N52" s="85"/>
    </row>
    <row r="53" spans="1:14">
      <c r="A53" s="85"/>
      <c r="B53" s="85"/>
      <c r="C53" s="85"/>
      <c r="D53" s="85"/>
      <c r="E53" s="85"/>
      <c r="F53" s="85"/>
      <c r="G53" s="85"/>
      <c r="H53" s="85"/>
      <c r="I53" s="85"/>
      <c r="J53" s="85"/>
      <c r="K53" s="85"/>
      <c r="L53" s="85"/>
      <c r="M53" s="85"/>
      <c r="N53" s="85"/>
    </row>
    <row r="54" spans="1:14" ht="15.75" thickBot="1">
      <c r="A54" s="85"/>
      <c r="B54" s="174" t="s">
        <v>67</v>
      </c>
      <c r="C54" s="174"/>
      <c r="D54" s="164" t="s">
        <v>368</v>
      </c>
      <c r="E54" s="165"/>
      <c r="F54" s="139" t="s">
        <v>369</v>
      </c>
      <c r="G54" s="139" t="s">
        <v>370</v>
      </c>
      <c r="H54" s="139" t="s">
        <v>371</v>
      </c>
      <c r="I54" s="139" t="s">
        <v>372</v>
      </c>
      <c r="J54" s="139" t="s">
        <v>373</v>
      </c>
      <c r="K54" s="139" t="s">
        <v>374</v>
      </c>
      <c r="L54" s="85"/>
      <c r="M54" s="85"/>
      <c r="N54" s="93"/>
    </row>
    <row r="55" spans="1:14" ht="16.5" thickTop="1" thickBot="1">
      <c r="A55" s="163"/>
      <c r="B55" s="85"/>
      <c r="C55" s="85"/>
      <c r="D55" s="164" t="s">
        <v>536</v>
      </c>
      <c r="E55" s="165"/>
      <c r="F55" s="166">
        <v>40</v>
      </c>
      <c r="G55" s="166">
        <v>15</v>
      </c>
      <c r="H55" s="166">
        <v>0</v>
      </c>
      <c r="I55" s="166">
        <v>0</v>
      </c>
      <c r="J55" s="166">
        <v>0</v>
      </c>
      <c r="K55" s="166">
        <v>0</v>
      </c>
      <c r="L55" s="85"/>
      <c r="M55" s="101">
        <f>B18-(SUM(F55:K55))</f>
        <v>0</v>
      </c>
      <c r="N55" s="85"/>
    </row>
    <row r="56" spans="1:14" ht="15.75" thickTop="1">
      <c r="A56" s="153" t="s">
        <v>96</v>
      </c>
      <c r="B56" s="166">
        <f>SUM(F56:K56)</f>
        <v>1546981.25</v>
      </c>
      <c r="C56" s="166"/>
      <c r="D56" s="164" t="s">
        <v>537</v>
      </c>
      <c r="E56" s="165"/>
      <c r="F56" s="166">
        <f>F55*$C$6</f>
        <v>1254309.2</v>
      </c>
      <c r="G56" s="166">
        <f>G55*$D$6</f>
        <v>292672.05000000005</v>
      </c>
      <c r="H56" s="166">
        <f>H55*$E$6</f>
        <v>0</v>
      </c>
      <c r="I56" s="166">
        <f>I55*$F$6</f>
        <v>0</v>
      </c>
      <c r="J56" s="166">
        <f>J55*$G$6</f>
        <v>0</v>
      </c>
      <c r="K56" s="166">
        <f>K55*$H$6</f>
        <v>0</v>
      </c>
      <c r="L56" s="85"/>
      <c r="M56" s="85"/>
      <c r="N56" s="85"/>
    </row>
    <row r="57" spans="1:14">
      <c r="A57" s="163"/>
      <c r="B57" s="165"/>
      <c r="C57" s="165"/>
      <c r="D57" s="164" t="s">
        <v>538</v>
      </c>
      <c r="E57" s="165"/>
      <c r="F57" s="340">
        <f>$C$10</f>
        <v>0.34200000000000003</v>
      </c>
      <c r="G57" s="340">
        <f>$D$10</f>
        <v>0.34200000000000003</v>
      </c>
      <c r="H57" s="340">
        <f>$E$10</f>
        <v>0.34200000000000003</v>
      </c>
      <c r="I57" s="340">
        <f>$F$10</f>
        <v>0.34200000000000003</v>
      </c>
      <c r="J57" s="340">
        <f>$G$10</f>
        <v>0.34200000000000003</v>
      </c>
      <c r="K57" s="340">
        <f>$H$10</f>
        <v>0.34200000000000003</v>
      </c>
      <c r="L57" s="85"/>
      <c r="M57" s="85"/>
      <c r="N57" s="85"/>
    </row>
    <row r="58" spans="1:14">
      <c r="A58" s="169"/>
      <c r="B58" s="310">
        <f>ROUND(SUM(F58:K58),2)</f>
        <v>529067.59</v>
      </c>
      <c r="C58" s="170"/>
      <c r="D58" s="171" t="s">
        <v>539</v>
      </c>
      <c r="E58" s="172"/>
      <c r="F58" s="173">
        <f>F56*F57</f>
        <v>428973.7464</v>
      </c>
      <c r="G58" s="173">
        <f t="shared" ref="G58:K58" si="5">G56*G57</f>
        <v>100093.84110000002</v>
      </c>
      <c r="H58" s="173">
        <f t="shared" si="5"/>
        <v>0</v>
      </c>
      <c r="I58" s="173">
        <f t="shared" si="5"/>
        <v>0</v>
      </c>
      <c r="J58" s="173">
        <f t="shared" si="5"/>
        <v>0</v>
      </c>
      <c r="K58" s="173">
        <f t="shared" si="5"/>
        <v>0</v>
      </c>
      <c r="L58" s="172"/>
      <c r="M58" s="172"/>
      <c r="N58" s="85"/>
    </row>
    <row r="59" spans="1:14">
      <c r="A59" s="85"/>
      <c r="B59" s="85"/>
      <c r="C59" s="85"/>
      <c r="D59" s="85"/>
      <c r="E59" s="85"/>
      <c r="F59" s="85"/>
      <c r="G59" s="85"/>
      <c r="H59" s="85"/>
      <c r="I59" s="85"/>
      <c r="J59" s="85"/>
      <c r="K59" s="85"/>
      <c r="L59" s="85"/>
      <c r="M59" s="85"/>
      <c r="N59" s="85"/>
    </row>
    <row r="60" spans="1:14" ht="15.75" thickBot="1">
      <c r="A60" s="85"/>
      <c r="B60" s="174" t="s">
        <v>67</v>
      </c>
      <c r="C60" s="174"/>
      <c r="D60" s="164" t="s">
        <v>368</v>
      </c>
      <c r="E60" s="165"/>
      <c r="F60" s="139" t="s">
        <v>369</v>
      </c>
      <c r="G60" s="139" t="s">
        <v>370</v>
      </c>
      <c r="H60" s="139" t="s">
        <v>371</v>
      </c>
      <c r="I60" s="139" t="s">
        <v>372</v>
      </c>
      <c r="J60" s="139" t="s">
        <v>373</v>
      </c>
      <c r="K60" s="139" t="s">
        <v>374</v>
      </c>
      <c r="L60" s="85"/>
      <c r="M60" s="85"/>
      <c r="N60" s="85"/>
    </row>
    <row r="61" spans="1:14" ht="16.5" thickTop="1" thickBot="1">
      <c r="A61" s="163"/>
      <c r="B61" s="85"/>
      <c r="C61" s="85"/>
      <c r="D61" s="164" t="s">
        <v>536</v>
      </c>
      <c r="E61" s="165"/>
      <c r="F61" s="166">
        <v>40</v>
      </c>
      <c r="G61" s="166">
        <v>16</v>
      </c>
      <c r="H61" s="166">
        <v>0</v>
      </c>
      <c r="I61" s="166">
        <v>0</v>
      </c>
      <c r="J61" s="166">
        <v>0</v>
      </c>
      <c r="K61" s="166">
        <v>0</v>
      </c>
      <c r="L61" s="85"/>
      <c r="M61" s="101">
        <f>B19-(SUM(F61:K61))</f>
        <v>0</v>
      </c>
      <c r="N61" s="85"/>
    </row>
    <row r="62" spans="1:14" ht="15.75" thickTop="1">
      <c r="A62" s="149" t="s">
        <v>97</v>
      </c>
      <c r="B62" s="166">
        <f>SUM(F62:K62)</f>
        <v>1566492.72</v>
      </c>
      <c r="C62" s="166"/>
      <c r="D62" s="164" t="s">
        <v>537</v>
      </c>
      <c r="E62" s="165"/>
      <c r="F62" s="166">
        <f>F61*$C$6</f>
        <v>1254309.2</v>
      </c>
      <c r="G62" s="166">
        <f>G61*$D$6</f>
        <v>312183.52</v>
      </c>
      <c r="H62" s="166">
        <f>H61*$E$6</f>
        <v>0</v>
      </c>
      <c r="I62" s="166">
        <f>I61*$F$6</f>
        <v>0</v>
      </c>
      <c r="J62" s="166">
        <f>J61*$G$6</f>
        <v>0</v>
      </c>
      <c r="K62" s="166">
        <f>K61*$H$6</f>
        <v>0</v>
      </c>
      <c r="L62" s="85"/>
      <c r="M62" s="85"/>
      <c r="N62" s="85"/>
    </row>
    <row r="63" spans="1:14">
      <c r="A63" s="163"/>
      <c r="B63" s="165"/>
      <c r="C63" s="165"/>
      <c r="D63" s="164" t="s">
        <v>538</v>
      </c>
      <c r="E63" s="165"/>
      <c r="F63" s="339">
        <f>$C$9</f>
        <v>0.20200000000000001</v>
      </c>
      <c r="G63" s="339">
        <f>$D$9</f>
        <v>0.20200000000000001</v>
      </c>
      <c r="H63" s="339">
        <f>$E$9</f>
        <v>0.20200000000000001</v>
      </c>
      <c r="I63" s="339">
        <f>$F$9</f>
        <v>0.20200000000000001</v>
      </c>
      <c r="J63" s="339">
        <f>$G$9</f>
        <v>0.20200000000000001</v>
      </c>
      <c r="K63" s="339">
        <f>$H$9</f>
        <v>0.20200000000000001</v>
      </c>
      <c r="L63" s="85"/>
      <c r="M63" s="85"/>
      <c r="N63" s="85"/>
    </row>
    <row r="64" spans="1:14">
      <c r="A64" s="169"/>
      <c r="B64" s="310">
        <f>ROUND(SUM(F64:K64),2)</f>
        <v>316431.53000000003</v>
      </c>
      <c r="C64" s="170"/>
      <c r="D64" s="171" t="s">
        <v>539</v>
      </c>
      <c r="E64" s="172"/>
      <c r="F64" s="173">
        <f>F62*F63</f>
        <v>253370.4584</v>
      </c>
      <c r="G64" s="173">
        <f t="shared" ref="G64:K64" si="6">G62*G63</f>
        <v>63061.07104000001</v>
      </c>
      <c r="H64" s="173">
        <f t="shared" si="6"/>
        <v>0</v>
      </c>
      <c r="I64" s="173">
        <f t="shared" si="6"/>
        <v>0</v>
      </c>
      <c r="J64" s="173">
        <f t="shared" si="6"/>
        <v>0</v>
      </c>
      <c r="K64" s="173">
        <f t="shared" si="6"/>
        <v>0</v>
      </c>
      <c r="L64" s="172"/>
      <c r="M64" s="172"/>
      <c r="N64" s="85"/>
    </row>
    <row r="65" spans="1:14">
      <c r="A65" s="85"/>
      <c r="B65" s="85"/>
      <c r="C65" s="85"/>
      <c r="D65" s="85"/>
      <c r="E65" s="85"/>
      <c r="F65" s="85"/>
      <c r="G65" s="85"/>
      <c r="H65" s="85"/>
      <c r="I65" s="85"/>
      <c r="J65" s="85"/>
      <c r="K65" s="85"/>
      <c r="L65" s="85"/>
      <c r="M65" s="85"/>
      <c r="N65" s="85"/>
    </row>
    <row r="66" spans="1:14" ht="15.75" thickBot="1">
      <c r="A66" s="85"/>
      <c r="B66" s="174" t="s">
        <v>67</v>
      </c>
      <c r="C66" s="174"/>
      <c r="D66" s="164" t="s">
        <v>368</v>
      </c>
      <c r="E66" s="165"/>
      <c r="F66" s="139" t="s">
        <v>369</v>
      </c>
      <c r="G66" s="139" t="s">
        <v>370</v>
      </c>
      <c r="H66" s="139" t="s">
        <v>371</v>
      </c>
      <c r="I66" s="139" t="s">
        <v>372</v>
      </c>
      <c r="J66" s="139" t="s">
        <v>373</v>
      </c>
      <c r="K66" s="139" t="s">
        <v>374</v>
      </c>
      <c r="L66" s="85"/>
      <c r="M66" s="85"/>
      <c r="N66" s="85"/>
    </row>
    <row r="67" spans="1:14" ht="16.5" thickTop="1" thickBot="1">
      <c r="A67" s="163"/>
      <c r="B67" s="85"/>
      <c r="C67" s="85"/>
      <c r="D67" s="164" t="s">
        <v>536</v>
      </c>
      <c r="E67" s="165"/>
      <c r="F67" s="166">
        <v>40</v>
      </c>
      <c r="G67" s="166">
        <v>20</v>
      </c>
      <c r="H67" s="166">
        <v>20</v>
      </c>
      <c r="I67" s="166">
        <v>20</v>
      </c>
      <c r="J67" s="166">
        <v>50</v>
      </c>
      <c r="K67" s="166">
        <v>40</v>
      </c>
      <c r="L67" s="85"/>
      <c r="M67" s="101">
        <f>B20-(SUM(F67:K67))</f>
        <v>0</v>
      </c>
      <c r="N67" s="85"/>
    </row>
    <row r="68" spans="1:14" ht="15.75" thickTop="1">
      <c r="A68" s="149" t="s">
        <v>98</v>
      </c>
      <c r="B68" s="166">
        <f>SUM(F68:K68)</f>
        <v>2243819.7000000002</v>
      </c>
      <c r="C68" s="166"/>
      <c r="D68" s="164" t="s">
        <v>537</v>
      </c>
      <c r="E68" s="165"/>
      <c r="F68" s="166">
        <f>F67*$C$6</f>
        <v>1254309.2</v>
      </c>
      <c r="G68" s="166">
        <f>G67*$D$6</f>
        <v>390229.4</v>
      </c>
      <c r="H68" s="166">
        <f>H67*$E$6</f>
        <v>278735.40000000002</v>
      </c>
      <c r="I68" s="166">
        <f>I67*$F$6</f>
        <v>111494.2</v>
      </c>
      <c r="J68" s="166">
        <f>J67*$G$6</f>
        <v>139367.5</v>
      </c>
      <c r="K68" s="166">
        <f>K67*$H$6</f>
        <v>69684</v>
      </c>
      <c r="L68" s="85"/>
      <c r="M68" s="85"/>
      <c r="N68" s="85"/>
    </row>
    <row r="69" spans="1:14">
      <c r="A69" s="163"/>
      <c r="B69" s="165"/>
      <c r="C69" s="165"/>
      <c r="D69" s="164" t="s">
        <v>538</v>
      </c>
      <c r="E69" s="165"/>
      <c r="F69" s="339">
        <f>$C$9</f>
        <v>0.20200000000000001</v>
      </c>
      <c r="G69" s="339">
        <f>$D$9</f>
        <v>0.20200000000000001</v>
      </c>
      <c r="H69" s="339">
        <f>$E$9</f>
        <v>0.20200000000000001</v>
      </c>
      <c r="I69" s="339">
        <f>$F$9</f>
        <v>0.20200000000000001</v>
      </c>
      <c r="J69" s="339">
        <f>$G$9</f>
        <v>0.20200000000000001</v>
      </c>
      <c r="K69" s="339">
        <f>$H$9</f>
        <v>0.20200000000000001</v>
      </c>
      <c r="L69" s="85"/>
      <c r="M69" s="85"/>
      <c r="N69" s="85"/>
    </row>
    <row r="70" spans="1:14">
      <c r="A70" s="169"/>
      <c r="B70" s="310">
        <f>ROUND(SUM(F70:K70),2)</f>
        <v>453251.58</v>
      </c>
      <c r="C70" s="170"/>
      <c r="D70" s="171" t="s">
        <v>539</v>
      </c>
      <c r="E70" s="172"/>
      <c r="F70" s="173">
        <f>F68*F69</f>
        <v>253370.4584</v>
      </c>
      <c r="G70" s="173">
        <f t="shared" ref="G70:K70" si="7">G68*G69</f>
        <v>78826.338800000012</v>
      </c>
      <c r="H70" s="173">
        <f t="shared" si="7"/>
        <v>56304.550800000012</v>
      </c>
      <c r="I70" s="173">
        <f t="shared" si="7"/>
        <v>22521.828400000002</v>
      </c>
      <c r="J70" s="173">
        <f t="shared" si="7"/>
        <v>28152.235000000001</v>
      </c>
      <c r="K70" s="173">
        <f t="shared" si="7"/>
        <v>14076.168000000001</v>
      </c>
      <c r="L70" s="172"/>
      <c r="M70" s="172"/>
      <c r="N70" s="85"/>
    </row>
    <row r="71" spans="1:14">
      <c r="A71" s="85"/>
      <c r="B71" s="85"/>
      <c r="C71" s="85"/>
      <c r="D71" s="85"/>
      <c r="E71" s="85"/>
      <c r="F71" s="85"/>
      <c r="G71" s="85"/>
      <c r="H71" s="85"/>
      <c r="I71" s="85"/>
      <c r="J71" s="85"/>
      <c r="K71" s="85"/>
      <c r="L71" s="85"/>
      <c r="M71" s="85"/>
      <c r="N71" s="85"/>
    </row>
    <row r="72" spans="1:14" ht="15.75" thickBot="1">
      <c r="A72" s="158"/>
      <c r="B72" s="159" t="s">
        <v>67</v>
      </c>
      <c r="C72" s="159"/>
      <c r="D72" s="110" t="s">
        <v>368</v>
      </c>
      <c r="E72" s="160"/>
      <c r="F72" s="161" t="s">
        <v>369</v>
      </c>
      <c r="G72" s="161" t="s">
        <v>370</v>
      </c>
      <c r="H72" s="161" t="s">
        <v>371</v>
      </c>
      <c r="I72" s="161" t="s">
        <v>372</v>
      </c>
      <c r="J72" s="161" t="s">
        <v>373</v>
      </c>
      <c r="K72" s="161" t="s">
        <v>374</v>
      </c>
      <c r="L72" s="158"/>
      <c r="M72" s="158"/>
      <c r="N72" s="85"/>
    </row>
    <row r="73" spans="1:14" ht="16.5" thickTop="1" thickBot="1">
      <c r="A73" s="163"/>
      <c r="B73" s="85"/>
      <c r="C73" s="85"/>
      <c r="D73" s="164" t="s">
        <v>536</v>
      </c>
      <c r="E73" s="165"/>
      <c r="F73" s="166">
        <v>40</v>
      </c>
      <c r="G73" s="166">
        <v>20</v>
      </c>
      <c r="H73" s="166">
        <v>20</v>
      </c>
      <c r="I73" s="166">
        <v>20</v>
      </c>
      <c r="J73" s="166">
        <v>50</v>
      </c>
      <c r="K73" s="166">
        <v>631</v>
      </c>
      <c r="L73" s="85"/>
      <c r="M73" s="101">
        <f>B21-(SUM(F73:K73))</f>
        <v>0</v>
      </c>
      <c r="N73" s="85"/>
    </row>
    <row r="74" spans="1:14" ht="15.75" thickTop="1">
      <c r="A74" s="149" t="s">
        <v>99</v>
      </c>
      <c r="B74" s="166">
        <f>SUM(F74:K74)</f>
        <v>3273400.8</v>
      </c>
      <c r="C74" s="166"/>
      <c r="D74" s="164" t="s">
        <v>537</v>
      </c>
      <c r="E74" s="165"/>
      <c r="F74" s="166">
        <f>F73*$C$6</f>
        <v>1254309.2</v>
      </c>
      <c r="G74" s="166">
        <f>G73*$D$6</f>
        <v>390229.4</v>
      </c>
      <c r="H74" s="166">
        <f>H73*$E$6</f>
        <v>278735.40000000002</v>
      </c>
      <c r="I74" s="166">
        <f>I73*$F$6</f>
        <v>111494.2</v>
      </c>
      <c r="J74" s="166">
        <f>J73*$G$6</f>
        <v>139367.5</v>
      </c>
      <c r="K74" s="166">
        <f>K73*$H$6</f>
        <v>1099265.0999999999</v>
      </c>
      <c r="L74" s="85"/>
      <c r="M74" s="85"/>
      <c r="N74" s="85"/>
    </row>
    <row r="75" spans="1:14">
      <c r="A75" s="163"/>
      <c r="B75" s="165"/>
      <c r="C75" s="165"/>
      <c r="D75" s="164" t="s">
        <v>538</v>
      </c>
      <c r="E75" s="165"/>
      <c r="F75" s="339">
        <f>$C$9</f>
        <v>0.20200000000000001</v>
      </c>
      <c r="G75" s="339">
        <f>$D$9</f>
        <v>0.20200000000000001</v>
      </c>
      <c r="H75" s="339">
        <f>$E$9</f>
        <v>0.20200000000000001</v>
      </c>
      <c r="I75" s="339">
        <f>$F$9</f>
        <v>0.20200000000000001</v>
      </c>
      <c r="J75" s="339">
        <f>$G$9</f>
        <v>0.20200000000000001</v>
      </c>
      <c r="K75" s="339">
        <f>$H$9</f>
        <v>0.20200000000000001</v>
      </c>
      <c r="L75" s="85"/>
      <c r="M75" s="85"/>
      <c r="N75" s="85"/>
    </row>
    <row r="76" spans="1:14">
      <c r="A76" s="169"/>
      <c r="B76" s="310">
        <f>ROUND(SUM(F76:K76),2)</f>
        <v>661226.96</v>
      </c>
      <c r="C76" s="170"/>
      <c r="D76" s="171" t="s">
        <v>539</v>
      </c>
      <c r="E76" s="172"/>
      <c r="F76" s="173">
        <f>F74*F75</f>
        <v>253370.4584</v>
      </c>
      <c r="G76" s="173">
        <f t="shared" ref="G76:K76" si="8">G74*G75</f>
        <v>78826.338800000012</v>
      </c>
      <c r="H76" s="173">
        <f t="shared" si="8"/>
        <v>56304.550800000012</v>
      </c>
      <c r="I76" s="173">
        <f t="shared" si="8"/>
        <v>22521.828400000002</v>
      </c>
      <c r="J76" s="173">
        <f t="shared" si="8"/>
        <v>28152.235000000001</v>
      </c>
      <c r="K76" s="173">
        <f t="shared" si="8"/>
        <v>222051.5502</v>
      </c>
      <c r="L76" s="172"/>
      <c r="M76" s="172"/>
      <c r="N76" s="85"/>
    </row>
    <row r="77" spans="1:14">
      <c r="A77" s="85"/>
      <c r="B77" s="85"/>
      <c r="C77" s="85"/>
      <c r="D77" s="85"/>
      <c r="E77" s="85"/>
      <c r="F77" s="85"/>
      <c r="G77" s="85"/>
      <c r="H77" s="85"/>
      <c r="I77" s="85"/>
      <c r="J77" s="85"/>
      <c r="K77" s="85"/>
      <c r="L77" s="85"/>
      <c r="M77" s="85"/>
      <c r="N77" s="85"/>
    </row>
    <row r="78" spans="1:14" ht="15.75" thickBot="1">
      <c r="A78" s="158"/>
      <c r="B78" s="159" t="s">
        <v>67</v>
      </c>
      <c r="C78" s="159"/>
      <c r="D78" s="110" t="s">
        <v>368</v>
      </c>
      <c r="E78" s="160"/>
      <c r="F78" s="161" t="s">
        <v>369</v>
      </c>
      <c r="G78" s="161" t="s">
        <v>370</v>
      </c>
      <c r="H78" s="161" t="s">
        <v>371</v>
      </c>
      <c r="I78" s="161" t="s">
        <v>372</v>
      </c>
      <c r="J78" s="161" t="s">
        <v>373</v>
      </c>
      <c r="K78" s="161" t="s">
        <v>374</v>
      </c>
      <c r="L78" s="158"/>
      <c r="M78" s="158"/>
      <c r="N78" s="85"/>
    </row>
    <row r="79" spans="1:14" ht="16.5" thickTop="1" thickBot="1">
      <c r="A79" s="163"/>
      <c r="B79" s="85"/>
      <c r="C79" s="85"/>
      <c r="D79" s="164" t="s">
        <v>536</v>
      </c>
      <c r="E79" s="165"/>
      <c r="F79" s="166">
        <f>B22</f>
        <v>18</v>
      </c>
      <c r="G79" s="166">
        <v>0</v>
      </c>
      <c r="H79" s="166">
        <v>0</v>
      </c>
      <c r="I79" s="166">
        <v>0</v>
      </c>
      <c r="J79" s="166">
        <v>0</v>
      </c>
      <c r="K79" s="166">
        <v>0</v>
      </c>
      <c r="L79" s="85"/>
      <c r="M79" s="101">
        <f>B22-(SUM(F79:K79))</f>
        <v>0</v>
      </c>
      <c r="N79" s="85"/>
    </row>
    <row r="80" spans="1:14" ht="15.75" thickTop="1">
      <c r="A80" s="150" t="s">
        <v>100</v>
      </c>
      <c r="B80" s="166">
        <f>SUM(F80:K80)</f>
        <v>564439.14</v>
      </c>
      <c r="C80" s="166"/>
      <c r="D80" s="164" t="s">
        <v>537</v>
      </c>
      <c r="E80" s="165"/>
      <c r="F80" s="166">
        <f>F79*$C$6</f>
        <v>564439.14</v>
      </c>
      <c r="G80" s="166">
        <f>G79*$D$6</f>
        <v>0</v>
      </c>
      <c r="H80" s="166">
        <f>H79*$E$6</f>
        <v>0</v>
      </c>
      <c r="I80" s="166">
        <f>I79*$F$6</f>
        <v>0</v>
      </c>
      <c r="J80" s="166">
        <f>J79*$G$6</f>
        <v>0</v>
      </c>
      <c r="K80" s="166">
        <f>K79*$H$6</f>
        <v>0</v>
      </c>
      <c r="L80" s="85"/>
      <c r="M80" s="85"/>
      <c r="N80" s="85"/>
    </row>
    <row r="81" spans="1:14">
      <c r="A81" s="163"/>
      <c r="B81" s="165"/>
      <c r="C81" s="165"/>
      <c r="D81" s="164" t="s">
        <v>538</v>
      </c>
      <c r="E81" s="165"/>
      <c r="F81" s="341">
        <f>$C$11</f>
        <v>0.39200000000000002</v>
      </c>
      <c r="G81" s="341">
        <f>$D$11</f>
        <v>0.39200000000000002</v>
      </c>
      <c r="H81" s="341">
        <f>$E$11</f>
        <v>0.39200000000000002</v>
      </c>
      <c r="I81" s="341">
        <f>$F$11</f>
        <v>0.39200000000000002</v>
      </c>
      <c r="J81" s="341">
        <f>$G$11</f>
        <v>0.39200000000000002</v>
      </c>
      <c r="K81" s="341">
        <f>$H$11</f>
        <v>0.39200000000000002</v>
      </c>
      <c r="L81" s="85"/>
      <c r="M81" s="85"/>
      <c r="N81" s="85"/>
    </row>
    <row r="82" spans="1:14">
      <c r="A82" s="169"/>
      <c r="B82" s="310">
        <f>ROUND(SUM(F82:K82),2)</f>
        <v>221260.14</v>
      </c>
      <c r="C82" s="170"/>
      <c r="D82" s="171" t="s">
        <v>539</v>
      </c>
      <c r="E82" s="172"/>
      <c r="F82" s="173">
        <f>F80*F81</f>
        <v>221260.14288000003</v>
      </c>
      <c r="G82" s="173">
        <f t="shared" ref="G82:K82" si="9">G80*G81</f>
        <v>0</v>
      </c>
      <c r="H82" s="173">
        <f t="shared" si="9"/>
        <v>0</v>
      </c>
      <c r="I82" s="173">
        <f t="shared" si="9"/>
        <v>0</v>
      </c>
      <c r="J82" s="173">
        <f t="shared" si="9"/>
        <v>0</v>
      </c>
      <c r="K82" s="173">
        <f t="shared" si="9"/>
        <v>0</v>
      </c>
      <c r="L82" s="172"/>
      <c r="M82" s="172"/>
      <c r="N82" s="85"/>
    </row>
    <row r="83" spans="1:14">
      <c r="A83" s="85"/>
      <c r="B83" s="85"/>
      <c r="C83" s="85"/>
      <c r="D83" s="85"/>
      <c r="E83" s="85"/>
      <c r="F83" s="85"/>
      <c r="G83" s="85"/>
      <c r="H83" s="85"/>
      <c r="I83" s="85"/>
      <c r="J83" s="85"/>
      <c r="K83" s="85"/>
      <c r="L83" s="85"/>
      <c r="M83" s="85"/>
      <c r="N83" s="85"/>
    </row>
    <row r="84" spans="1:14" ht="15.75" thickBot="1">
      <c r="A84" s="158"/>
      <c r="B84" s="159" t="s">
        <v>67</v>
      </c>
      <c r="C84" s="159"/>
      <c r="D84" s="110" t="s">
        <v>368</v>
      </c>
      <c r="E84" s="160"/>
      <c r="F84" s="161" t="s">
        <v>369</v>
      </c>
      <c r="G84" s="161" t="s">
        <v>370</v>
      </c>
      <c r="H84" s="161" t="s">
        <v>371</v>
      </c>
      <c r="I84" s="161" t="s">
        <v>372</v>
      </c>
      <c r="J84" s="161" t="s">
        <v>373</v>
      </c>
      <c r="K84" s="161" t="s">
        <v>374</v>
      </c>
      <c r="L84" s="158"/>
      <c r="M84" s="158"/>
      <c r="N84" s="85"/>
    </row>
    <row r="85" spans="1:14" ht="16.5" thickTop="1" thickBot="1">
      <c r="A85" s="163"/>
      <c r="B85" s="85"/>
      <c r="C85" s="85"/>
      <c r="D85" s="164" t="s">
        <v>536</v>
      </c>
      <c r="E85" s="165"/>
      <c r="F85" s="166">
        <f>B23</f>
        <v>2</v>
      </c>
      <c r="G85" s="166">
        <v>0</v>
      </c>
      <c r="H85" s="166">
        <v>0</v>
      </c>
      <c r="I85" s="166">
        <v>0</v>
      </c>
      <c r="J85" s="166">
        <v>0</v>
      </c>
      <c r="K85" s="166">
        <v>0</v>
      </c>
      <c r="L85" s="85"/>
      <c r="M85" s="101">
        <f>B23-(SUM(F85:K85))</f>
        <v>0</v>
      </c>
      <c r="N85" s="85"/>
    </row>
    <row r="86" spans="1:14" ht="15.75" thickTop="1">
      <c r="A86" s="150" t="s">
        <v>101</v>
      </c>
      <c r="B86" s="166">
        <f>SUM(F86:K86)</f>
        <v>62715.46</v>
      </c>
      <c r="C86" s="166"/>
      <c r="D86" s="164" t="s">
        <v>537</v>
      </c>
      <c r="E86" s="165"/>
      <c r="F86" s="166">
        <f>F85*$C$6</f>
        <v>62715.46</v>
      </c>
      <c r="G86" s="166">
        <f>G85*$D$6</f>
        <v>0</v>
      </c>
      <c r="H86" s="166">
        <f>H85*$E$6</f>
        <v>0</v>
      </c>
      <c r="I86" s="166">
        <f>I85*$F$6</f>
        <v>0</v>
      </c>
      <c r="J86" s="166">
        <f>J85*$G$6</f>
        <v>0</v>
      </c>
      <c r="K86" s="166">
        <f>K85*$H$6</f>
        <v>0</v>
      </c>
      <c r="L86" s="85"/>
      <c r="M86" s="85"/>
      <c r="N86" s="85"/>
    </row>
    <row r="87" spans="1:14">
      <c r="A87" s="163"/>
      <c r="B87" s="165"/>
      <c r="C87" s="165"/>
      <c r="D87" s="164" t="s">
        <v>538</v>
      </c>
      <c r="E87" s="165"/>
      <c r="F87" s="341">
        <f>$C$11</f>
        <v>0.39200000000000002</v>
      </c>
      <c r="G87" s="341">
        <f>$D$11</f>
        <v>0.39200000000000002</v>
      </c>
      <c r="H87" s="341">
        <f>$E$11</f>
        <v>0.39200000000000002</v>
      </c>
      <c r="I87" s="341">
        <f>$F$11</f>
        <v>0.39200000000000002</v>
      </c>
      <c r="J87" s="341">
        <f>$G$11</f>
        <v>0.39200000000000002</v>
      </c>
      <c r="K87" s="341">
        <f>$H$11</f>
        <v>0.39200000000000002</v>
      </c>
      <c r="L87" s="85"/>
      <c r="M87" s="85"/>
      <c r="N87" s="85"/>
    </row>
    <row r="88" spans="1:14">
      <c r="A88" s="169"/>
      <c r="B88" s="310">
        <f>ROUND(SUM(F88:K88),2)</f>
        <v>24584.46</v>
      </c>
      <c r="C88" s="170"/>
      <c r="D88" s="171" t="s">
        <v>539</v>
      </c>
      <c r="E88" s="172"/>
      <c r="F88" s="173">
        <f>F86*F87</f>
        <v>24584.460320000002</v>
      </c>
      <c r="G88" s="173">
        <f t="shared" ref="G88:K88" si="10">G86*G87</f>
        <v>0</v>
      </c>
      <c r="H88" s="173">
        <f t="shared" si="10"/>
        <v>0</v>
      </c>
      <c r="I88" s="173">
        <f t="shared" si="10"/>
        <v>0</v>
      </c>
      <c r="J88" s="173">
        <f t="shared" si="10"/>
        <v>0</v>
      </c>
      <c r="K88" s="173">
        <f t="shared" si="10"/>
        <v>0</v>
      </c>
      <c r="L88" s="172"/>
      <c r="M88" s="172"/>
      <c r="N88" s="85"/>
    </row>
    <row r="89" spans="1:14">
      <c r="A89" s="85"/>
      <c r="B89" s="85"/>
      <c r="C89" s="85"/>
      <c r="D89" s="85"/>
      <c r="E89" s="85"/>
      <c r="F89" s="85"/>
      <c r="G89" s="85"/>
      <c r="H89" s="85"/>
      <c r="I89" s="85"/>
      <c r="J89" s="85"/>
      <c r="K89" s="85"/>
      <c r="L89" s="85"/>
      <c r="M89" s="85"/>
      <c r="N89" s="85"/>
    </row>
    <row r="90" spans="1:14" ht="15.75" thickBot="1">
      <c r="A90" s="158"/>
      <c r="B90" s="159" t="s">
        <v>67</v>
      </c>
      <c r="C90" s="159"/>
      <c r="D90" s="110" t="s">
        <v>368</v>
      </c>
      <c r="E90" s="160"/>
      <c r="F90" s="161" t="s">
        <v>369</v>
      </c>
      <c r="G90" s="161" t="s">
        <v>370</v>
      </c>
      <c r="H90" s="161" t="s">
        <v>371</v>
      </c>
      <c r="I90" s="161" t="s">
        <v>372</v>
      </c>
      <c r="J90" s="161" t="s">
        <v>373</v>
      </c>
      <c r="K90" s="161" t="s">
        <v>374</v>
      </c>
      <c r="L90" s="158"/>
      <c r="M90" s="158"/>
      <c r="N90" s="85"/>
    </row>
    <row r="91" spans="1:14" ht="16.5" thickTop="1" thickBot="1">
      <c r="A91" s="163"/>
      <c r="B91" s="85"/>
      <c r="C91" s="85"/>
      <c r="D91" s="164" t="s">
        <v>536</v>
      </c>
      <c r="E91" s="165"/>
      <c r="F91" s="166">
        <v>40</v>
      </c>
      <c r="G91" s="166">
        <v>20</v>
      </c>
      <c r="H91" s="166">
        <v>20</v>
      </c>
      <c r="I91" s="166">
        <v>20</v>
      </c>
      <c r="J91" s="166">
        <v>50</v>
      </c>
      <c r="K91" s="166">
        <v>172</v>
      </c>
      <c r="L91" s="85"/>
      <c r="M91" s="101">
        <f>B24-(SUM(F91:K91))</f>
        <v>0</v>
      </c>
      <c r="N91" s="85"/>
    </row>
    <row r="92" spans="1:14" ht="15.75" thickTop="1">
      <c r="A92" s="149" t="s">
        <v>102</v>
      </c>
      <c r="B92" s="166">
        <f>SUM(F92:K92)</f>
        <v>2473776.9000000004</v>
      </c>
      <c r="C92" s="166"/>
      <c r="D92" s="164" t="s">
        <v>537</v>
      </c>
      <c r="E92" s="165"/>
      <c r="F92" s="166">
        <f>F91*$C$6</f>
        <v>1254309.2</v>
      </c>
      <c r="G92" s="166">
        <f>G91*$D$6</f>
        <v>390229.4</v>
      </c>
      <c r="H92" s="166">
        <f>H91*$E$6</f>
        <v>278735.40000000002</v>
      </c>
      <c r="I92" s="166">
        <f>I91*$F$6</f>
        <v>111494.2</v>
      </c>
      <c r="J92" s="166">
        <f>J91*$G$6</f>
        <v>139367.5</v>
      </c>
      <c r="K92" s="166">
        <f>K91*$H$6</f>
        <v>299641.2</v>
      </c>
      <c r="L92" s="85"/>
      <c r="M92" s="85"/>
      <c r="N92" s="85"/>
    </row>
    <row r="93" spans="1:14">
      <c r="A93" s="163"/>
      <c r="B93" s="165"/>
      <c r="C93" s="165"/>
      <c r="D93" s="164" t="s">
        <v>538</v>
      </c>
      <c r="E93" s="165"/>
      <c r="F93" s="339">
        <f>$C$9</f>
        <v>0.20200000000000001</v>
      </c>
      <c r="G93" s="339">
        <f>$D$9</f>
        <v>0.20200000000000001</v>
      </c>
      <c r="H93" s="339">
        <f>$E$9</f>
        <v>0.20200000000000001</v>
      </c>
      <c r="I93" s="339">
        <f>$F$9</f>
        <v>0.20200000000000001</v>
      </c>
      <c r="J93" s="339">
        <f>$G$9</f>
        <v>0.20200000000000001</v>
      </c>
      <c r="K93" s="339">
        <f>$H$9</f>
        <v>0.20200000000000001</v>
      </c>
      <c r="L93" s="85"/>
      <c r="M93" s="85"/>
      <c r="N93" s="85"/>
    </row>
    <row r="94" spans="1:14">
      <c r="A94" s="169"/>
      <c r="B94" s="310">
        <f>ROUND(SUM(F94:K94),2)</f>
        <v>499702.93</v>
      </c>
      <c r="C94" s="170"/>
      <c r="D94" s="171" t="s">
        <v>539</v>
      </c>
      <c r="E94" s="172"/>
      <c r="F94" s="173">
        <f>F92*F93</f>
        <v>253370.4584</v>
      </c>
      <c r="G94" s="173">
        <f t="shared" ref="G94:K94" si="11">G92*G93</f>
        <v>78826.338800000012</v>
      </c>
      <c r="H94" s="173">
        <f t="shared" si="11"/>
        <v>56304.550800000012</v>
      </c>
      <c r="I94" s="173">
        <f t="shared" si="11"/>
        <v>22521.828400000002</v>
      </c>
      <c r="J94" s="173">
        <f t="shared" si="11"/>
        <v>28152.235000000001</v>
      </c>
      <c r="K94" s="173">
        <f t="shared" si="11"/>
        <v>60527.522400000009</v>
      </c>
      <c r="L94" s="172"/>
      <c r="M94" s="172"/>
      <c r="N94" s="85"/>
    </row>
    <row r="95" spans="1:14">
      <c r="A95" s="85"/>
      <c r="B95" s="85"/>
      <c r="C95" s="85"/>
      <c r="D95" s="85"/>
      <c r="E95" s="85"/>
      <c r="F95" s="85"/>
      <c r="G95" s="85"/>
      <c r="H95" s="85"/>
      <c r="I95" s="85"/>
      <c r="J95" s="85"/>
      <c r="K95" s="85"/>
      <c r="L95" s="85"/>
      <c r="M95" s="85"/>
      <c r="N95" s="85"/>
    </row>
    <row r="96" spans="1:14" ht="15.75" thickBot="1">
      <c r="A96" s="158"/>
      <c r="B96" s="159" t="s">
        <v>67</v>
      </c>
      <c r="C96" s="159"/>
      <c r="D96" s="110" t="s">
        <v>368</v>
      </c>
      <c r="E96" s="160"/>
      <c r="F96" s="161" t="s">
        <v>369</v>
      </c>
      <c r="G96" s="161" t="s">
        <v>370</v>
      </c>
      <c r="H96" s="161" t="s">
        <v>371</v>
      </c>
      <c r="I96" s="161" t="s">
        <v>372</v>
      </c>
      <c r="J96" s="161" t="s">
        <v>373</v>
      </c>
      <c r="K96" s="161" t="s">
        <v>374</v>
      </c>
      <c r="L96" s="158"/>
      <c r="M96" s="158"/>
      <c r="N96" s="85"/>
    </row>
    <row r="97" spans="1:14" ht="16.5" thickTop="1" thickBot="1">
      <c r="A97" s="163"/>
      <c r="B97" s="85"/>
      <c r="C97" s="85"/>
      <c r="D97" s="164" t="s">
        <v>536</v>
      </c>
      <c r="E97" s="165"/>
      <c r="F97" s="166">
        <v>35</v>
      </c>
      <c r="G97" s="166">
        <v>0</v>
      </c>
      <c r="H97" s="166">
        <v>0</v>
      </c>
      <c r="I97" s="166">
        <v>0</v>
      </c>
      <c r="J97" s="166">
        <v>0</v>
      </c>
      <c r="K97" s="166">
        <v>0</v>
      </c>
      <c r="L97" s="85"/>
      <c r="M97" s="101">
        <f>B25-(SUM(F97:K97))</f>
        <v>0</v>
      </c>
      <c r="N97" s="85"/>
    </row>
    <row r="98" spans="1:14" ht="15.75" thickTop="1">
      <c r="A98" s="149" t="s">
        <v>103</v>
      </c>
      <c r="B98" s="166">
        <f>SUM(F98:K98)</f>
        <v>1097520.55</v>
      </c>
      <c r="C98" s="166"/>
      <c r="D98" s="164" t="s">
        <v>537</v>
      </c>
      <c r="E98" s="165"/>
      <c r="F98" s="166">
        <f>F97*$C$6</f>
        <v>1097520.55</v>
      </c>
      <c r="G98" s="166">
        <f>G97*$D$6</f>
        <v>0</v>
      </c>
      <c r="H98" s="166">
        <f>H97*$E$6</f>
        <v>0</v>
      </c>
      <c r="I98" s="166">
        <f>I97*$F$6</f>
        <v>0</v>
      </c>
      <c r="J98" s="166">
        <f>J97*$G$6</f>
        <v>0</v>
      </c>
      <c r="K98" s="166">
        <f>K97*$H$6</f>
        <v>0</v>
      </c>
      <c r="L98" s="85"/>
      <c r="M98" s="85"/>
      <c r="N98" s="85"/>
    </row>
    <row r="99" spans="1:14">
      <c r="A99" s="163"/>
      <c r="B99" s="165"/>
      <c r="C99" s="165"/>
      <c r="D99" s="164" t="s">
        <v>538</v>
      </c>
      <c r="E99" s="165"/>
      <c r="F99" s="339">
        <f>$C$9</f>
        <v>0.20200000000000001</v>
      </c>
      <c r="G99" s="339">
        <f>$D$9</f>
        <v>0.20200000000000001</v>
      </c>
      <c r="H99" s="339">
        <f>$E$9</f>
        <v>0.20200000000000001</v>
      </c>
      <c r="I99" s="339">
        <f>$F$9</f>
        <v>0.20200000000000001</v>
      </c>
      <c r="J99" s="339">
        <f>$G$9</f>
        <v>0.20200000000000001</v>
      </c>
      <c r="K99" s="339">
        <f>$H$9</f>
        <v>0.20200000000000001</v>
      </c>
      <c r="L99" s="85"/>
      <c r="M99" s="85"/>
      <c r="N99" s="85"/>
    </row>
    <row r="100" spans="1:14">
      <c r="A100" s="169"/>
      <c r="B100" s="310">
        <f>ROUND(SUM(F100:K100),2)</f>
        <v>221699.15</v>
      </c>
      <c r="C100" s="170"/>
      <c r="D100" s="171" t="s">
        <v>539</v>
      </c>
      <c r="E100" s="172"/>
      <c r="F100" s="173">
        <f>F98*F99</f>
        <v>221699.15110000002</v>
      </c>
      <c r="G100" s="173">
        <f t="shared" ref="G100:K100" si="12">G98*G99</f>
        <v>0</v>
      </c>
      <c r="H100" s="173">
        <f t="shared" si="12"/>
        <v>0</v>
      </c>
      <c r="I100" s="173">
        <f t="shared" si="12"/>
        <v>0</v>
      </c>
      <c r="J100" s="173">
        <f t="shared" si="12"/>
        <v>0</v>
      </c>
      <c r="K100" s="173">
        <f t="shared" si="12"/>
        <v>0</v>
      </c>
      <c r="L100" s="172"/>
      <c r="M100" s="172"/>
      <c r="N100" s="85"/>
    </row>
    <row r="101" spans="1:14">
      <c r="A101" s="85"/>
      <c r="B101" s="85"/>
      <c r="C101" s="85"/>
      <c r="D101" s="85"/>
      <c r="E101" s="85"/>
      <c r="F101" s="85"/>
      <c r="G101" s="85"/>
      <c r="H101" s="85"/>
      <c r="I101" s="85"/>
      <c r="J101" s="85"/>
      <c r="K101" s="85"/>
      <c r="L101" s="85"/>
      <c r="M101" s="85"/>
      <c r="N101" s="85"/>
    </row>
    <row r="102" spans="1:14" ht="15.75" thickBot="1">
      <c r="A102" s="158"/>
      <c r="B102" s="159" t="s">
        <v>67</v>
      </c>
      <c r="C102" s="159"/>
      <c r="D102" s="110" t="s">
        <v>368</v>
      </c>
      <c r="E102" s="160"/>
      <c r="F102" s="161" t="s">
        <v>369</v>
      </c>
      <c r="G102" s="161" t="s">
        <v>370</v>
      </c>
      <c r="H102" s="161" t="s">
        <v>371</v>
      </c>
      <c r="I102" s="161" t="s">
        <v>372</v>
      </c>
      <c r="J102" s="161" t="s">
        <v>373</v>
      </c>
      <c r="K102" s="161" t="s">
        <v>374</v>
      </c>
      <c r="L102" s="158"/>
      <c r="M102" s="158"/>
      <c r="N102" s="85"/>
    </row>
    <row r="103" spans="1:14" ht="16.5" thickTop="1" thickBot="1">
      <c r="A103" s="163"/>
      <c r="B103" s="85"/>
      <c r="C103" s="85"/>
      <c r="D103" s="164" t="s">
        <v>536</v>
      </c>
      <c r="E103" s="165"/>
      <c r="F103" s="166">
        <v>40</v>
      </c>
      <c r="G103" s="166">
        <v>20</v>
      </c>
      <c r="H103" s="166">
        <v>20</v>
      </c>
      <c r="I103" s="166">
        <v>20</v>
      </c>
      <c r="J103" s="166">
        <v>50</v>
      </c>
      <c r="K103" s="166">
        <v>71</v>
      </c>
      <c r="L103" s="85"/>
      <c r="M103" s="101">
        <f>B26-(SUM(F103:K103))</f>
        <v>0</v>
      </c>
      <c r="N103" s="85"/>
    </row>
    <row r="104" spans="1:14" ht="15.75" thickTop="1">
      <c r="A104" s="149" t="s">
        <v>104</v>
      </c>
      <c r="B104" s="166">
        <f>SUM(F104:K104)</f>
        <v>2297824.8000000003</v>
      </c>
      <c r="C104" s="166"/>
      <c r="D104" s="164" t="s">
        <v>537</v>
      </c>
      <c r="E104" s="165"/>
      <c r="F104" s="166">
        <f>F103*$C$6</f>
        <v>1254309.2</v>
      </c>
      <c r="G104" s="166">
        <f>G103*$D$6</f>
        <v>390229.4</v>
      </c>
      <c r="H104" s="166">
        <f>H103*$E$6</f>
        <v>278735.40000000002</v>
      </c>
      <c r="I104" s="166">
        <f>I103*$F$6</f>
        <v>111494.2</v>
      </c>
      <c r="J104" s="166">
        <f>J103*$G$6</f>
        <v>139367.5</v>
      </c>
      <c r="K104" s="166">
        <f>K103*$H$6</f>
        <v>123689.09999999999</v>
      </c>
      <c r="L104" s="85"/>
      <c r="M104" s="85"/>
      <c r="N104" s="85"/>
    </row>
    <row r="105" spans="1:14">
      <c r="A105" s="163"/>
      <c r="B105" s="165"/>
      <c r="C105" s="165"/>
      <c r="D105" s="164" t="s">
        <v>538</v>
      </c>
      <c r="E105" s="165"/>
      <c r="F105" s="339">
        <f>$C$9</f>
        <v>0.20200000000000001</v>
      </c>
      <c r="G105" s="339">
        <f>$D$9</f>
        <v>0.20200000000000001</v>
      </c>
      <c r="H105" s="339">
        <f>$E$9</f>
        <v>0.20200000000000001</v>
      </c>
      <c r="I105" s="339">
        <f>$F$9</f>
        <v>0.20200000000000001</v>
      </c>
      <c r="J105" s="339">
        <f>$G$9</f>
        <v>0.20200000000000001</v>
      </c>
      <c r="K105" s="339">
        <f>$H$9</f>
        <v>0.20200000000000001</v>
      </c>
      <c r="L105" s="85"/>
      <c r="M105" s="85"/>
      <c r="N105" s="85"/>
    </row>
    <row r="106" spans="1:14">
      <c r="A106" s="169"/>
      <c r="B106" s="310">
        <f>ROUND(SUM(F106:K106),2)</f>
        <v>464160.61</v>
      </c>
      <c r="C106" s="170"/>
      <c r="D106" s="171" t="s">
        <v>539</v>
      </c>
      <c r="E106" s="172"/>
      <c r="F106" s="173">
        <f>F104*F105</f>
        <v>253370.4584</v>
      </c>
      <c r="G106" s="173">
        <f t="shared" ref="G106:K106" si="13">G104*G105</f>
        <v>78826.338800000012</v>
      </c>
      <c r="H106" s="173">
        <f t="shared" si="13"/>
        <v>56304.550800000012</v>
      </c>
      <c r="I106" s="173">
        <f t="shared" si="13"/>
        <v>22521.828400000002</v>
      </c>
      <c r="J106" s="173">
        <f t="shared" si="13"/>
        <v>28152.235000000001</v>
      </c>
      <c r="K106" s="173">
        <f t="shared" si="13"/>
        <v>24985.198199999999</v>
      </c>
      <c r="L106" s="172"/>
      <c r="M106" s="172"/>
      <c r="N106" s="85"/>
    </row>
    <row r="107" spans="1:14">
      <c r="A107" s="85"/>
      <c r="B107" s="85"/>
      <c r="C107" s="85"/>
      <c r="D107" s="85"/>
      <c r="E107" s="85"/>
      <c r="F107" s="85"/>
      <c r="G107" s="85"/>
      <c r="H107" s="85"/>
      <c r="I107" s="85"/>
      <c r="J107" s="85"/>
      <c r="K107" s="85"/>
      <c r="L107" s="85"/>
      <c r="M107" s="85"/>
      <c r="N107" s="85"/>
    </row>
    <row r="108" spans="1:14" ht="15.75" thickBot="1">
      <c r="A108" s="158"/>
      <c r="B108" s="159" t="s">
        <v>67</v>
      </c>
      <c r="C108" s="159"/>
      <c r="D108" s="110" t="s">
        <v>368</v>
      </c>
      <c r="E108" s="160"/>
      <c r="F108" s="161" t="s">
        <v>369</v>
      </c>
      <c r="G108" s="161" t="s">
        <v>370</v>
      </c>
      <c r="H108" s="161" t="s">
        <v>371</v>
      </c>
      <c r="I108" s="161" t="s">
        <v>372</v>
      </c>
      <c r="J108" s="161" t="s">
        <v>373</v>
      </c>
      <c r="K108" s="161" t="s">
        <v>374</v>
      </c>
      <c r="L108" s="158"/>
      <c r="M108" s="158"/>
      <c r="N108" s="85"/>
    </row>
    <row r="109" spans="1:14" ht="16.5" thickTop="1" thickBot="1">
      <c r="A109" s="163"/>
      <c r="B109" s="85"/>
      <c r="C109" s="85"/>
      <c r="D109" s="164" t="s">
        <v>536</v>
      </c>
      <c r="E109" s="165"/>
      <c r="F109" s="166">
        <f>B27</f>
        <v>16</v>
      </c>
      <c r="G109" s="166">
        <v>0</v>
      </c>
      <c r="H109" s="166">
        <v>0</v>
      </c>
      <c r="I109" s="166">
        <v>0</v>
      </c>
      <c r="J109" s="166">
        <v>0</v>
      </c>
      <c r="K109" s="166">
        <v>0</v>
      </c>
      <c r="L109" s="85"/>
      <c r="M109" s="101">
        <f>B27-(SUM(F109:K109))</f>
        <v>0</v>
      </c>
      <c r="N109" s="85"/>
    </row>
    <row r="110" spans="1:14" ht="15.75" thickTop="1">
      <c r="A110" s="150" t="s">
        <v>105</v>
      </c>
      <c r="B110" s="166">
        <f>SUM(F110:K110)</f>
        <v>501723.68</v>
      </c>
      <c r="C110" s="166"/>
      <c r="D110" s="164" t="s">
        <v>537</v>
      </c>
      <c r="E110" s="165"/>
      <c r="F110" s="166">
        <f>F109*$C$6</f>
        <v>501723.68</v>
      </c>
      <c r="G110" s="166">
        <f>G109*$D$6</f>
        <v>0</v>
      </c>
      <c r="H110" s="166">
        <f>H109*$E$6</f>
        <v>0</v>
      </c>
      <c r="I110" s="166">
        <f>I109*$F$6</f>
        <v>0</v>
      </c>
      <c r="J110" s="166">
        <f>J109*$G$6</f>
        <v>0</v>
      </c>
      <c r="K110" s="166">
        <f>K109*$H$6</f>
        <v>0</v>
      </c>
      <c r="L110" s="85"/>
      <c r="M110" s="85"/>
      <c r="N110" s="85"/>
    </row>
    <row r="111" spans="1:14">
      <c r="A111" s="163"/>
      <c r="B111" s="165"/>
      <c r="C111" s="165"/>
      <c r="D111" s="164" t="s">
        <v>538</v>
      </c>
      <c r="E111" s="165"/>
      <c r="F111" s="341">
        <f>$C$11</f>
        <v>0.39200000000000002</v>
      </c>
      <c r="G111" s="341">
        <f>$D$11</f>
        <v>0.39200000000000002</v>
      </c>
      <c r="H111" s="341">
        <f>$E$11</f>
        <v>0.39200000000000002</v>
      </c>
      <c r="I111" s="341">
        <f>$F$11</f>
        <v>0.39200000000000002</v>
      </c>
      <c r="J111" s="341">
        <f>$G$11</f>
        <v>0.39200000000000002</v>
      </c>
      <c r="K111" s="341">
        <f>$H$11</f>
        <v>0.39200000000000002</v>
      </c>
      <c r="L111" s="85"/>
      <c r="M111" s="85"/>
      <c r="N111" s="85"/>
    </row>
    <row r="112" spans="1:14">
      <c r="A112" s="169"/>
      <c r="B112" s="310">
        <f>ROUND(SUM(F112:K112),2)</f>
        <v>196675.68</v>
      </c>
      <c r="C112" s="170"/>
      <c r="D112" s="171" t="s">
        <v>539</v>
      </c>
      <c r="E112" s="172"/>
      <c r="F112" s="173">
        <f>F110*F111</f>
        <v>196675.68256000002</v>
      </c>
      <c r="G112" s="173">
        <f t="shared" ref="G112:K112" si="14">G110*G111</f>
        <v>0</v>
      </c>
      <c r="H112" s="173">
        <f t="shared" si="14"/>
        <v>0</v>
      </c>
      <c r="I112" s="173">
        <f t="shared" si="14"/>
        <v>0</v>
      </c>
      <c r="J112" s="173">
        <f t="shared" si="14"/>
        <v>0</v>
      </c>
      <c r="K112" s="173">
        <f t="shared" si="14"/>
        <v>0</v>
      </c>
      <c r="L112" s="172"/>
      <c r="M112" s="172"/>
      <c r="N112" s="85"/>
    </row>
    <row r="113" spans="1:14">
      <c r="A113" s="85"/>
      <c r="B113" s="85"/>
      <c r="C113" s="85"/>
      <c r="D113" s="85"/>
      <c r="E113" s="85"/>
      <c r="F113" s="85"/>
      <c r="G113" s="85"/>
      <c r="H113" s="85"/>
      <c r="I113" s="85"/>
      <c r="J113" s="85"/>
      <c r="K113" s="85"/>
      <c r="L113" s="85"/>
      <c r="M113" s="85"/>
      <c r="N113" s="85"/>
    </row>
    <row r="114" spans="1:14" ht="15.75" thickBot="1">
      <c r="A114" s="158"/>
      <c r="B114" s="159" t="s">
        <v>67</v>
      </c>
      <c r="C114" s="159"/>
      <c r="D114" s="110" t="s">
        <v>368</v>
      </c>
      <c r="E114" s="160"/>
      <c r="F114" s="161" t="s">
        <v>369</v>
      </c>
      <c r="G114" s="161" t="s">
        <v>370</v>
      </c>
      <c r="H114" s="161" t="s">
        <v>371</v>
      </c>
      <c r="I114" s="161" t="s">
        <v>372</v>
      </c>
      <c r="J114" s="161" t="s">
        <v>373</v>
      </c>
      <c r="K114" s="161" t="s">
        <v>374</v>
      </c>
      <c r="L114" s="158"/>
      <c r="M114" s="158"/>
      <c r="N114" s="85"/>
    </row>
    <row r="115" spans="1:14" ht="16.5" thickTop="1" thickBot="1">
      <c r="A115" s="163"/>
      <c r="B115" s="85"/>
      <c r="C115" s="85"/>
      <c r="D115" s="164" t="s">
        <v>536</v>
      </c>
      <c r="E115" s="165"/>
      <c r="F115" s="166">
        <v>40</v>
      </c>
      <c r="G115" s="166">
        <v>20</v>
      </c>
      <c r="H115" s="166">
        <v>20</v>
      </c>
      <c r="I115" s="166">
        <v>20</v>
      </c>
      <c r="J115" s="166">
        <v>1</v>
      </c>
      <c r="K115" s="166">
        <v>0</v>
      </c>
      <c r="L115" s="85"/>
      <c r="M115" s="101">
        <f>B28-(SUM(F115:K115))</f>
        <v>0</v>
      </c>
      <c r="N115" s="85"/>
    </row>
    <row r="116" spans="1:14" ht="15.75" thickTop="1">
      <c r="A116" s="149" t="s">
        <v>106</v>
      </c>
      <c r="B116" s="166">
        <f>SUM(F116:K116)</f>
        <v>2037555.55</v>
      </c>
      <c r="C116" s="166"/>
      <c r="D116" s="164" t="s">
        <v>537</v>
      </c>
      <c r="E116" s="165"/>
      <c r="F116" s="166">
        <f>F115*$C$6</f>
        <v>1254309.2</v>
      </c>
      <c r="G116" s="166">
        <f>G115*$D$6</f>
        <v>390229.4</v>
      </c>
      <c r="H116" s="166">
        <f>H115*$E$6</f>
        <v>278735.40000000002</v>
      </c>
      <c r="I116" s="166">
        <f>I115*$F$6</f>
        <v>111494.2</v>
      </c>
      <c r="J116" s="166">
        <f>J115*$G$6</f>
        <v>2787.35</v>
      </c>
      <c r="K116" s="166">
        <f>K115*$H$6</f>
        <v>0</v>
      </c>
      <c r="L116" s="85"/>
      <c r="M116" s="85"/>
      <c r="N116" s="85"/>
    </row>
    <row r="117" spans="1:14">
      <c r="A117" s="163"/>
      <c r="B117" s="165"/>
      <c r="C117" s="165"/>
      <c r="D117" s="164" t="s">
        <v>538</v>
      </c>
      <c r="E117" s="165"/>
      <c r="F117" s="339">
        <f>$C$9</f>
        <v>0.20200000000000001</v>
      </c>
      <c r="G117" s="339">
        <f>$D$9</f>
        <v>0.20200000000000001</v>
      </c>
      <c r="H117" s="339">
        <f>$E$9</f>
        <v>0.20200000000000001</v>
      </c>
      <c r="I117" s="339">
        <f>$F$9</f>
        <v>0.20200000000000001</v>
      </c>
      <c r="J117" s="339">
        <f>$G$9</f>
        <v>0.20200000000000001</v>
      </c>
      <c r="K117" s="339">
        <f>$H$9</f>
        <v>0.20200000000000001</v>
      </c>
      <c r="L117" s="85"/>
      <c r="M117" s="85"/>
      <c r="N117" s="85"/>
    </row>
    <row r="118" spans="1:14">
      <c r="A118" s="169"/>
      <c r="B118" s="310">
        <f>ROUND(SUM(F118:K118),2)</f>
        <v>411586.22</v>
      </c>
      <c r="C118" s="170"/>
      <c r="D118" s="171" t="s">
        <v>539</v>
      </c>
      <c r="E118" s="172"/>
      <c r="F118" s="173">
        <f>F116*F117</f>
        <v>253370.4584</v>
      </c>
      <c r="G118" s="173">
        <f t="shared" ref="G118:K118" si="15">G116*G117</f>
        <v>78826.338800000012</v>
      </c>
      <c r="H118" s="173">
        <f t="shared" si="15"/>
        <v>56304.550800000012</v>
      </c>
      <c r="I118" s="173">
        <f t="shared" si="15"/>
        <v>22521.828400000002</v>
      </c>
      <c r="J118" s="173">
        <f t="shared" si="15"/>
        <v>563.04470000000003</v>
      </c>
      <c r="K118" s="173">
        <f t="shared" si="15"/>
        <v>0</v>
      </c>
      <c r="L118" s="172"/>
      <c r="M118" s="172"/>
      <c r="N118" s="85"/>
    </row>
    <row r="119" spans="1:14">
      <c r="A119" s="85"/>
      <c r="B119" s="85"/>
      <c r="C119" s="85"/>
      <c r="D119" s="85"/>
      <c r="E119" s="85"/>
      <c r="F119" s="85"/>
      <c r="G119" s="85"/>
      <c r="H119" s="85"/>
      <c r="I119" s="85"/>
      <c r="J119" s="85"/>
      <c r="K119" s="85"/>
      <c r="L119" s="85"/>
      <c r="M119" s="85"/>
      <c r="N119" s="85"/>
    </row>
    <row r="120" spans="1:14" ht="15.75" thickBot="1">
      <c r="A120" s="85"/>
      <c r="B120" s="174" t="s">
        <v>67</v>
      </c>
      <c r="C120" s="174"/>
      <c r="D120" s="164" t="s">
        <v>368</v>
      </c>
      <c r="E120" s="165"/>
      <c r="F120" s="139" t="s">
        <v>369</v>
      </c>
      <c r="G120" s="139" t="s">
        <v>370</v>
      </c>
      <c r="H120" s="139" t="s">
        <v>371</v>
      </c>
      <c r="I120" s="139" t="s">
        <v>372</v>
      </c>
      <c r="J120" s="139" t="s">
        <v>373</v>
      </c>
      <c r="K120" s="139" t="s">
        <v>374</v>
      </c>
      <c r="L120" s="85"/>
      <c r="M120" s="85"/>
      <c r="N120" s="85"/>
    </row>
    <row r="121" spans="1:14" ht="16.5" thickTop="1" thickBot="1">
      <c r="A121" s="163"/>
      <c r="B121" s="85"/>
      <c r="C121" s="85"/>
      <c r="D121" s="164" t="s">
        <v>536</v>
      </c>
      <c r="E121" s="165"/>
      <c r="F121" s="166">
        <v>36</v>
      </c>
      <c r="G121" s="166">
        <v>0</v>
      </c>
      <c r="H121" s="166">
        <v>0</v>
      </c>
      <c r="I121" s="166">
        <v>0</v>
      </c>
      <c r="J121" s="166">
        <v>0</v>
      </c>
      <c r="K121" s="166">
        <v>0</v>
      </c>
      <c r="L121" s="85"/>
      <c r="M121" s="101">
        <f>B29-(SUM(F121:K121))</f>
        <v>0</v>
      </c>
      <c r="N121" s="85"/>
    </row>
    <row r="122" spans="1:14" ht="15.75" thickTop="1">
      <c r="A122" s="153" t="s">
        <v>107</v>
      </c>
      <c r="B122" s="166">
        <f>SUM(F122:K122)</f>
        <v>1128878.28</v>
      </c>
      <c r="C122" s="166"/>
      <c r="D122" s="164" t="s">
        <v>537</v>
      </c>
      <c r="E122" s="165"/>
      <c r="F122" s="166">
        <f>F121*$C$6</f>
        <v>1128878.28</v>
      </c>
      <c r="G122" s="166">
        <f>G121*$D$6</f>
        <v>0</v>
      </c>
      <c r="H122" s="166">
        <f>H121*$E$6</f>
        <v>0</v>
      </c>
      <c r="I122" s="166">
        <f>I121*$F$6</f>
        <v>0</v>
      </c>
      <c r="J122" s="166">
        <f>J121*$G$6</f>
        <v>0</v>
      </c>
      <c r="K122" s="166">
        <f>K121*$H$6</f>
        <v>0</v>
      </c>
      <c r="L122" s="85"/>
      <c r="M122" s="85"/>
      <c r="N122" s="85"/>
    </row>
    <row r="123" spans="1:14">
      <c r="A123" s="163"/>
      <c r="B123" s="165"/>
      <c r="C123" s="165"/>
      <c r="D123" s="164" t="s">
        <v>538</v>
      </c>
      <c r="E123" s="165"/>
      <c r="F123" s="340">
        <f>$C$10</f>
        <v>0.34200000000000003</v>
      </c>
      <c r="G123" s="340">
        <f>$D$10</f>
        <v>0.34200000000000003</v>
      </c>
      <c r="H123" s="340">
        <f>$E$10</f>
        <v>0.34200000000000003</v>
      </c>
      <c r="I123" s="340">
        <f>$F$10</f>
        <v>0.34200000000000003</v>
      </c>
      <c r="J123" s="340">
        <f>$G$10</f>
        <v>0.34200000000000003</v>
      </c>
      <c r="K123" s="340">
        <f>$H$10</f>
        <v>0.34200000000000003</v>
      </c>
      <c r="L123" s="85"/>
      <c r="M123" s="85"/>
      <c r="N123" s="85"/>
    </row>
    <row r="124" spans="1:14">
      <c r="A124" s="169"/>
      <c r="B124" s="310">
        <f>ROUND(SUM(F124:K124),2)</f>
        <v>386076.37</v>
      </c>
      <c r="C124" s="170"/>
      <c r="D124" s="171" t="s">
        <v>539</v>
      </c>
      <c r="E124" s="172"/>
      <c r="F124" s="173">
        <f>F122*F123</f>
        <v>386076.37176000007</v>
      </c>
      <c r="G124" s="173">
        <f t="shared" ref="G124:K124" si="16">G122*G123</f>
        <v>0</v>
      </c>
      <c r="H124" s="173">
        <f t="shared" si="16"/>
        <v>0</v>
      </c>
      <c r="I124" s="173">
        <f t="shared" si="16"/>
        <v>0</v>
      </c>
      <c r="J124" s="173">
        <f t="shared" si="16"/>
        <v>0</v>
      </c>
      <c r="K124" s="173">
        <f t="shared" si="16"/>
        <v>0</v>
      </c>
      <c r="L124" s="172"/>
      <c r="M124" s="172"/>
      <c r="N124" s="85"/>
    </row>
    <row r="125" spans="1:14">
      <c r="A125" s="85"/>
      <c r="B125" s="85"/>
      <c r="C125" s="85"/>
      <c r="D125" s="85"/>
      <c r="E125" s="85"/>
      <c r="F125" s="85"/>
      <c r="G125" s="85"/>
      <c r="H125" s="85"/>
      <c r="I125" s="85"/>
      <c r="J125" s="85"/>
      <c r="K125" s="85"/>
      <c r="L125" s="85"/>
      <c r="M125" s="85"/>
      <c r="N125" s="85"/>
    </row>
    <row r="126" spans="1:14" ht="15.75" thickBot="1">
      <c r="A126" s="158"/>
      <c r="B126" s="159" t="s">
        <v>67</v>
      </c>
      <c r="C126" s="159"/>
      <c r="D126" s="110" t="s">
        <v>368</v>
      </c>
      <c r="E126" s="160"/>
      <c r="F126" s="161" t="s">
        <v>369</v>
      </c>
      <c r="G126" s="161" t="s">
        <v>370</v>
      </c>
      <c r="H126" s="161" t="s">
        <v>371</v>
      </c>
      <c r="I126" s="161" t="s">
        <v>372</v>
      </c>
      <c r="J126" s="161" t="s">
        <v>373</v>
      </c>
      <c r="K126" s="161" t="s">
        <v>374</v>
      </c>
      <c r="L126" s="158"/>
      <c r="M126" s="158"/>
      <c r="N126" s="85"/>
    </row>
    <row r="127" spans="1:14" ht="16.5" thickTop="1" thickBot="1">
      <c r="A127" s="163"/>
      <c r="B127" s="85"/>
      <c r="C127" s="85"/>
      <c r="D127" s="164" t="s">
        <v>536</v>
      </c>
      <c r="E127" s="165"/>
      <c r="F127" s="166">
        <v>40</v>
      </c>
      <c r="G127" s="166">
        <v>20</v>
      </c>
      <c r="H127" s="166">
        <v>20</v>
      </c>
      <c r="I127" s="166">
        <v>20</v>
      </c>
      <c r="J127" s="166">
        <v>50</v>
      </c>
      <c r="K127" s="166">
        <v>1099</v>
      </c>
      <c r="L127" s="85"/>
      <c r="M127" s="101">
        <f>B30-(SUM(F127:K127))</f>
        <v>0</v>
      </c>
      <c r="N127" s="85"/>
    </row>
    <row r="128" spans="1:14" ht="15.75" thickTop="1">
      <c r="A128" s="149" t="s">
        <v>108</v>
      </c>
      <c r="B128" s="166">
        <f>SUM(F128:K128)</f>
        <v>4088703.6</v>
      </c>
      <c r="C128" s="166"/>
      <c r="D128" s="164" t="s">
        <v>537</v>
      </c>
      <c r="E128" s="165"/>
      <c r="F128" s="166">
        <f>F127*$C$6</f>
        <v>1254309.2</v>
      </c>
      <c r="G128" s="166">
        <f>G127*$D$6</f>
        <v>390229.4</v>
      </c>
      <c r="H128" s="166">
        <f>H127*$E$6</f>
        <v>278735.40000000002</v>
      </c>
      <c r="I128" s="166">
        <f>I127*$F$6</f>
        <v>111494.2</v>
      </c>
      <c r="J128" s="166">
        <f>J127*$G$6</f>
        <v>139367.5</v>
      </c>
      <c r="K128" s="166">
        <f>K127*$H$6</f>
        <v>1914567.9</v>
      </c>
      <c r="L128" s="85"/>
      <c r="M128" s="85"/>
      <c r="N128" s="85"/>
    </row>
    <row r="129" spans="1:14">
      <c r="A129" s="163"/>
      <c r="B129" s="165"/>
      <c r="C129" s="165"/>
      <c r="D129" s="164" t="s">
        <v>538</v>
      </c>
      <c r="E129" s="165"/>
      <c r="F129" s="339">
        <f>$C$9</f>
        <v>0.20200000000000001</v>
      </c>
      <c r="G129" s="339">
        <f>$D$9</f>
        <v>0.20200000000000001</v>
      </c>
      <c r="H129" s="339">
        <f>$E$9</f>
        <v>0.20200000000000001</v>
      </c>
      <c r="I129" s="339">
        <f>$F$9</f>
        <v>0.20200000000000001</v>
      </c>
      <c r="J129" s="339">
        <f>$G$9</f>
        <v>0.20200000000000001</v>
      </c>
      <c r="K129" s="339">
        <f>$H$9</f>
        <v>0.20200000000000001</v>
      </c>
      <c r="L129" s="85"/>
      <c r="M129" s="85"/>
      <c r="N129" s="85"/>
    </row>
    <row r="130" spans="1:14">
      <c r="A130" s="169"/>
      <c r="B130" s="310">
        <f>ROUND(SUM(F130:K130),2)</f>
        <v>825918.13</v>
      </c>
      <c r="C130" s="170"/>
      <c r="D130" s="171" t="s">
        <v>539</v>
      </c>
      <c r="E130" s="172"/>
      <c r="F130" s="173">
        <f>F128*F129</f>
        <v>253370.4584</v>
      </c>
      <c r="G130" s="173">
        <f t="shared" ref="G130:K130" si="17">G128*G129</f>
        <v>78826.338800000012</v>
      </c>
      <c r="H130" s="173">
        <f t="shared" si="17"/>
        <v>56304.550800000012</v>
      </c>
      <c r="I130" s="173">
        <f t="shared" si="17"/>
        <v>22521.828400000002</v>
      </c>
      <c r="J130" s="173">
        <f t="shared" si="17"/>
        <v>28152.235000000001</v>
      </c>
      <c r="K130" s="173">
        <f t="shared" si="17"/>
        <v>386742.71580000001</v>
      </c>
      <c r="L130" s="172"/>
      <c r="M130" s="172"/>
      <c r="N130" s="85"/>
    </row>
    <row r="131" spans="1:14">
      <c r="A131" s="85"/>
      <c r="B131" s="85"/>
      <c r="C131" s="85"/>
      <c r="D131" s="85"/>
      <c r="E131" s="85"/>
      <c r="F131" s="85"/>
      <c r="G131" s="85"/>
      <c r="H131" s="85"/>
      <c r="I131" s="85"/>
      <c r="J131" s="85"/>
      <c r="K131" s="85"/>
      <c r="L131" s="85"/>
      <c r="M131" s="85"/>
      <c r="N131" s="85"/>
    </row>
    <row r="132" spans="1:14" ht="15.75" thickBot="1">
      <c r="A132" s="85"/>
      <c r="B132" s="85"/>
      <c r="C132" s="85"/>
      <c r="D132" s="85"/>
      <c r="E132" s="85"/>
      <c r="F132" s="85"/>
      <c r="G132" s="85"/>
      <c r="H132" s="85"/>
      <c r="I132" s="85"/>
      <c r="J132" s="85"/>
      <c r="K132" s="85"/>
      <c r="L132" s="85"/>
      <c r="M132" s="85"/>
      <c r="N132" s="85"/>
    </row>
    <row r="133" spans="1:14" ht="16.5" thickTop="1" thickBot="1">
      <c r="A133" s="175" t="s">
        <v>540</v>
      </c>
      <c r="B133" s="176"/>
      <c r="C133" s="175">
        <v>2025</v>
      </c>
      <c r="D133" s="301">
        <f>B40+B46+B52+B58+B64+B70+B76+B82+B88+B94+B100+B106+B112+B118+B124+B130</f>
        <v>6464202.9399999995</v>
      </c>
      <c r="E133" s="101">
        <f>D133-'Skola, STR &amp; Spcfr'!B23</f>
        <v>0</v>
      </c>
      <c r="F133" s="85"/>
      <c r="G133" s="85"/>
      <c r="H133" s="85"/>
      <c r="I133" s="85"/>
      <c r="J133" s="85"/>
      <c r="K133" s="85"/>
      <c r="L133" s="85"/>
      <c r="M133" s="85"/>
      <c r="N133" s="85"/>
    </row>
    <row r="134" spans="1:14" ht="15.75" thickTop="1">
      <c r="A134" s="104"/>
      <c r="B134" s="85"/>
      <c r="C134" s="85"/>
      <c r="D134" s="93"/>
      <c r="E134" s="93"/>
      <c r="F134" s="85"/>
      <c r="G134" s="85"/>
      <c r="H134" s="85"/>
      <c r="I134" s="85"/>
      <c r="J134" s="85"/>
      <c r="K134" s="85"/>
      <c r="L134" s="85"/>
      <c r="M134" s="85"/>
      <c r="N134" s="85"/>
    </row>
  </sheetData>
  <pageMargins left="0.7" right="0.7" top="0.75" bottom="0.75" header="0.3" footer="0.3"/>
  <pageSetup paperSize="9" scale="88" orientation="landscape" r:id="rId1"/>
  <rowBreaks count="3" manualBreakCount="3">
    <brk id="34" max="16383" man="1"/>
    <brk id="71" max="16383" man="1"/>
    <brk id="10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6"/>
  <sheetViews>
    <sheetView zoomScaleNormal="100" workbookViewId="0">
      <selection activeCell="D12" sqref="D12"/>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6" ht="15.75">
      <c r="A1" s="11" t="s">
        <v>359</v>
      </c>
      <c r="B1" s="876"/>
      <c r="C1" s="876"/>
      <c r="D1" s="876"/>
      <c r="E1" s="876"/>
      <c r="F1" s="876"/>
    </row>
    <row r="2" spans="1:6">
      <c r="A2" s="876" t="s">
        <v>541</v>
      </c>
      <c r="B2" s="876"/>
      <c r="C2" s="876"/>
      <c r="D2" s="876"/>
      <c r="E2" s="876"/>
      <c r="F2" s="876"/>
    </row>
    <row r="4" spans="1:6">
      <c r="A4" s="53" t="s">
        <v>542</v>
      </c>
      <c r="B4" s="85"/>
      <c r="C4" s="85"/>
      <c r="D4" s="85"/>
      <c r="E4" s="85"/>
      <c r="F4" s="85"/>
    </row>
    <row r="5" spans="1:6">
      <c r="A5" s="85"/>
      <c r="B5" s="85"/>
      <c r="C5" s="85"/>
      <c r="D5" s="85"/>
      <c r="E5" s="85"/>
      <c r="F5" s="85"/>
    </row>
    <row r="6" spans="1:6" ht="16.149999999999999" customHeight="1">
      <c r="A6" s="104" t="s">
        <v>543</v>
      </c>
      <c r="B6" s="183">
        <f>Basbelopp!Q125</f>
        <v>39108.230000000003</v>
      </c>
      <c r="C6" s="85"/>
      <c r="D6" s="85"/>
      <c r="E6" s="85"/>
      <c r="F6" s="85"/>
    </row>
    <row r="7" spans="1:6">
      <c r="A7" s="104" t="s">
        <v>538</v>
      </c>
      <c r="B7" s="239">
        <v>1</v>
      </c>
      <c r="C7" s="85"/>
      <c r="D7" s="85"/>
      <c r="E7" s="85"/>
      <c r="F7" s="85"/>
    </row>
    <row r="8" spans="1:6">
      <c r="A8" s="85"/>
      <c r="B8" s="239"/>
      <c r="C8" s="85"/>
      <c r="D8" s="85"/>
      <c r="E8" s="85"/>
      <c r="F8" s="85"/>
    </row>
    <row r="9" spans="1:6">
      <c r="A9" s="105"/>
      <c r="B9" s="103" t="s">
        <v>536</v>
      </c>
      <c r="C9" s="103" t="s">
        <v>537</v>
      </c>
      <c r="D9" s="201" t="s">
        <v>544</v>
      </c>
      <c r="E9" s="85"/>
      <c r="F9" s="85"/>
    </row>
    <row r="10" spans="1:6">
      <c r="A10" s="104" t="s">
        <v>93</v>
      </c>
      <c r="B10" s="240">
        <v>0</v>
      </c>
      <c r="C10" s="93">
        <f>$B$6*B10</f>
        <v>0</v>
      </c>
      <c r="D10" s="118">
        <f>ROUND(C10*$B$7,2)</f>
        <v>0</v>
      </c>
      <c r="E10" s="85"/>
      <c r="F10" s="85"/>
    </row>
    <row r="11" spans="1:6">
      <c r="A11" s="104" t="s">
        <v>94</v>
      </c>
      <c r="B11" s="240">
        <v>3</v>
      </c>
      <c r="C11" s="93">
        <f>$B$6*B11</f>
        <v>117324.69</v>
      </c>
      <c r="D11" s="118">
        <f>ROUND(C11*$B$7,2)</f>
        <v>117324.69</v>
      </c>
      <c r="E11" s="85"/>
      <c r="F11" s="85"/>
    </row>
    <row r="12" spans="1:6">
      <c r="A12" s="104" t="s">
        <v>95</v>
      </c>
      <c r="B12" s="240">
        <v>5</v>
      </c>
      <c r="C12" s="93">
        <f>$B$6*B12</f>
        <v>195541.15000000002</v>
      </c>
      <c r="D12" s="118">
        <f t="shared" ref="D12:D25" si="0">ROUND(C12*$B$7,2)</f>
        <v>195541.15</v>
      </c>
      <c r="E12" s="85"/>
      <c r="F12" s="85"/>
    </row>
    <row r="13" spans="1:6">
      <c r="A13" s="104" t="s">
        <v>96</v>
      </c>
      <c r="B13" s="240">
        <v>1</v>
      </c>
      <c r="C13" s="93">
        <f t="shared" ref="C13:C25" si="1">$B$6*B13</f>
        <v>39108.230000000003</v>
      </c>
      <c r="D13" s="118">
        <f t="shared" si="0"/>
        <v>39108.230000000003</v>
      </c>
      <c r="E13" s="85"/>
      <c r="F13" s="85"/>
    </row>
    <row r="14" spans="1:6">
      <c r="A14" s="104" t="s">
        <v>97</v>
      </c>
      <c r="B14" s="240">
        <v>2</v>
      </c>
      <c r="C14" s="93">
        <f t="shared" si="1"/>
        <v>78216.460000000006</v>
      </c>
      <c r="D14" s="118">
        <f t="shared" si="0"/>
        <v>78216.460000000006</v>
      </c>
      <c r="E14" s="85"/>
      <c r="F14" s="85"/>
    </row>
    <row r="15" spans="1:6">
      <c r="A15" s="104" t="s">
        <v>98</v>
      </c>
      <c r="B15" s="240">
        <v>2</v>
      </c>
      <c r="C15" s="93">
        <f t="shared" si="1"/>
        <v>78216.460000000006</v>
      </c>
      <c r="D15" s="118">
        <f t="shared" si="0"/>
        <v>78216.460000000006</v>
      </c>
      <c r="E15" s="85"/>
      <c r="F15" s="85"/>
    </row>
    <row r="16" spans="1:6">
      <c r="A16" s="104" t="s">
        <v>99</v>
      </c>
      <c r="B16" s="240">
        <v>12</v>
      </c>
      <c r="C16" s="93">
        <f t="shared" si="1"/>
        <v>469298.76</v>
      </c>
      <c r="D16" s="118">
        <f t="shared" si="0"/>
        <v>469298.76</v>
      </c>
      <c r="E16" s="85"/>
      <c r="F16" s="85"/>
    </row>
    <row r="17" spans="1:10">
      <c r="A17" s="104" t="s">
        <v>100</v>
      </c>
      <c r="B17" s="240">
        <v>0</v>
      </c>
      <c r="C17" s="93">
        <f t="shared" si="1"/>
        <v>0</v>
      </c>
      <c r="D17" s="118">
        <f t="shared" si="0"/>
        <v>0</v>
      </c>
      <c r="E17" s="85"/>
      <c r="F17" s="85"/>
      <c r="G17" s="876"/>
      <c r="H17" s="876"/>
      <c r="I17" s="876"/>
      <c r="J17" s="876"/>
    </row>
    <row r="18" spans="1:10">
      <c r="A18" s="104" t="s">
        <v>101</v>
      </c>
      <c r="B18" s="240">
        <v>0</v>
      </c>
      <c r="C18" s="93">
        <f t="shared" si="1"/>
        <v>0</v>
      </c>
      <c r="D18" s="118">
        <f t="shared" si="0"/>
        <v>0</v>
      </c>
      <c r="E18" s="85"/>
      <c r="F18" s="85"/>
      <c r="G18" s="876"/>
      <c r="H18" s="876"/>
      <c r="I18" s="876"/>
      <c r="J18" s="876"/>
    </row>
    <row r="19" spans="1:10">
      <c r="A19" s="104" t="s">
        <v>102</v>
      </c>
      <c r="B19" s="240">
        <v>1</v>
      </c>
      <c r="C19" s="93">
        <f t="shared" si="1"/>
        <v>39108.230000000003</v>
      </c>
      <c r="D19" s="118">
        <f t="shared" si="0"/>
        <v>39108.230000000003</v>
      </c>
      <c r="E19" s="85"/>
      <c r="F19" s="85"/>
      <c r="G19" s="876"/>
      <c r="H19" s="876"/>
      <c r="I19" s="876"/>
      <c r="J19" s="876"/>
    </row>
    <row r="20" spans="1:10">
      <c r="A20" s="104" t="s">
        <v>103</v>
      </c>
      <c r="B20" s="240">
        <v>0</v>
      </c>
      <c r="C20" s="93">
        <f t="shared" si="1"/>
        <v>0</v>
      </c>
      <c r="D20" s="118">
        <f t="shared" si="0"/>
        <v>0</v>
      </c>
      <c r="E20" s="85"/>
      <c r="F20" s="85"/>
      <c r="G20" s="876"/>
      <c r="H20" s="876"/>
      <c r="I20" s="876"/>
      <c r="J20" s="876"/>
    </row>
    <row r="21" spans="1:10">
      <c r="A21" s="104" t="s">
        <v>104</v>
      </c>
      <c r="B21" s="240">
        <v>4</v>
      </c>
      <c r="C21" s="93">
        <f t="shared" si="1"/>
        <v>156432.92000000001</v>
      </c>
      <c r="D21" s="118">
        <f t="shared" si="0"/>
        <v>156432.92000000001</v>
      </c>
      <c r="E21" s="85"/>
      <c r="F21" s="85"/>
      <c r="G21" s="882"/>
      <c r="H21" s="913"/>
      <c r="I21" s="876"/>
      <c r="J21" s="876"/>
    </row>
    <row r="22" spans="1:10">
      <c r="A22" s="104" t="s">
        <v>105</v>
      </c>
      <c r="B22" s="240">
        <v>0</v>
      </c>
      <c r="C22" s="93">
        <f t="shared" si="1"/>
        <v>0</v>
      </c>
      <c r="D22" s="118">
        <f t="shared" si="0"/>
        <v>0</v>
      </c>
      <c r="E22" s="85"/>
      <c r="F22" s="85"/>
      <c r="G22" s="882"/>
      <c r="H22" s="876"/>
      <c r="I22" s="876"/>
      <c r="J22" s="876"/>
    </row>
    <row r="23" spans="1:10">
      <c r="A23" s="104" t="s">
        <v>106</v>
      </c>
      <c r="B23" s="240">
        <v>4</v>
      </c>
      <c r="C23" s="93">
        <f t="shared" si="1"/>
        <v>156432.92000000001</v>
      </c>
      <c r="D23" s="118">
        <f t="shared" si="0"/>
        <v>156432.92000000001</v>
      </c>
      <c r="E23" s="85"/>
      <c r="F23" s="85"/>
      <c r="G23" s="876"/>
      <c r="H23" s="876"/>
      <c r="I23" s="876"/>
      <c r="J23" s="876"/>
    </row>
    <row r="24" spans="1:10">
      <c r="A24" s="104" t="s">
        <v>107</v>
      </c>
      <c r="B24" s="240">
        <v>0</v>
      </c>
      <c r="C24" s="93">
        <f t="shared" si="1"/>
        <v>0</v>
      </c>
      <c r="D24" s="118">
        <f t="shared" si="0"/>
        <v>0</v>
      </c>
      <c r="E24" s="85"/>
      <c r="F24" s="85"/>
      <c r="G24" s="876"/>
      <c r="H24" s="876"/>
      <c r="I24" s="876"/>
      <c r="J24" s="876"/>
    </row>
    <row r="25" spans="1:10" ht="15.75" thickBot="1">
      <c r="A25" s="103" t="s">
        <v>108</v>
      </c>
      <c r="B25" s="242">
        <v>7</v>
      </c>
      <c r="C25" s="94">
        <f t="shared" si="1"/>
        <v>273757.61000000004</v>
      </c>
      <c r="D25" s="120">
        <f t="shared" si="0"/>
        <v>273757.61</v>
      </c>
      <c r="E25" s="85"/>
      <c r="F25" s="85"/>
      <c r="G25" s="882"/>
      <c r="H25" s="876"/>
      <c r="I25" s="876"/>
      <c r="J25" s="85" t="s">
        <v>545</v>
      </c>
    </row>
    <row r="26" spans="1:10" ht="16.5" thickTop="1" thickBot="1">
      <c r="A26" s="104" t="s">
        <v>109</v>
      </c>
      <c r="B26" s="244">
        <f>SUM(B10:B25)</f>
        <v>41</v>
      </c>
      <c r="C26" s="97">
        <f>SUM(C10:C25)</f>
        <v>1603437.43</v>
      </c>
      <c r="D26" s="122">
        <f>SUM(D10:D25)</f>
        <v>1603437.4299999997</v>
      </c>
      <c r="E26" s="876"/>
      <c r="F26" s="85"/>
      <c r="G26" s="876"/>
      <c r="H26" s="876"/>
      <c r="I26" s="876"/>
      <c r="J26" s="101">
        <f>D26-'Skola, STR &amp; Spcfr'!C23</f>
        <v>0</v>
      </c>
    </row>
    <row r="27" spans="1:10" ht="15.75" thickTop="1">
      <c r="A27" s="85"/>
      <c r="B27" s="85"/>
      <c r="C27" s="85"/>
      <c r="D27" s="85"/>
      <c r="E27" s="85"/>
      <c r="F27" s="85"/>
      <c r="G27" s="876"/>
      <c r="H27" s="876"/>
      <c r="I27" s="876"/>
      <c r="J27" s="876"/>
    </row>
    <row r="28" spans="1:10">
      <c r="A28" s="53" t="s">
        <v>546</v>
      </c>
      <c r="B28" s="85"/>
      <c r="C28" s="85"/>
      <c r="D28" s="85"/>
      <c r="E28" s="85"/>
      <c r="F28" s="85"/>
      <c r="G28" s="876"/>
      <c r="H28" s="876"/>
      <c r="I28" s="876"/>
      <c r="J28" s="876"/>
    </row>
    <row r="29" spans="1:10">
      <c r="A29" s="53" t="s">
        <v>547</v>
      </c>
      <c r="B29" s="80">
        <v>45548</v>
      </c>
      <c r="C29" s="85"/>
      <c r="D29" s="85"/>
      <c r="E29" s="85"/>
      <c r="F29" s="85"/>
      <c r="G29" s="876"/>
      <c r="H29" s="876"/>
      <c r="I29" s="876"/>
      <c r="J29" s="876"/>
    </row>
    <row r="30" spans="1:10">
      <c r="A30" s="783" t="s">
        <v>548</v>
      </c>
      <c r="B30" s="85"/>
      <c r="C30" s="85"/>
      <c r="D30" s="85"/>
      <c r="E30" s="85"/>
      <c r="F30" s="85"/>
      <c r="G30" s="876"/>
      <c r="H30" s="876"/>
      <c r="I30" s="876"/>
      <c r="J30" s="876"/>
    </row>
    <row r="36" spans="5:5" ht="15.75">
      <c r="E36" s="38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
  <sheetViews>
    <sheetView zoomScaleNormal="100" workbookViewId="0">
      <selection activeCell="D15" sqref="D15"/>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10" ht="15.75">
      <c r="A1" s="11" t="s">
        <v>549</v>
      </c>
      <c r="B1" s="876"/>
      <c r="C1" s="876"/>
      <c r="D1" s="876"/>
      <c r="E1" s="876"/>
      <c r="F1" s="876"/>
      <c r="G1" s="876"/>
      <c r="H1" s="876"/>
      <c r="I1" s="876"/>
      <c r="J1" s="876"/>
    </row>
    <row r="2" spans="1:10">
      <c r="A2" s="876" t="s">
        <v>541</v>
      </c>
      <c r="B2" s="876"/>
      <c r="C2" s="876"/>
      <c r="D2" s="876"/>
      <c r="E2" s="876"/>
      <c r="F2" s="876"/>
      <c r="G2" s="876"/>
      <c r="H2" s="876"/>
      <c r="I2" s="876"/>
      <c r="J2" s="876"/>
    </row>
    <row r="4" spans="1:10">
      <c r="A4" s="53" t="s">
        <v>550</v>
      </c>
      <c r="B4" s="85"/>
      <c r="C4" s="85"/>
      <c r="D4" s="85"/>
      <c r="E4" s="85"/>
      <c r="F4" s="85"/>
      <c r="G4" s="876"/>
      <c r="H4" s="876"/>
      <c r="I4" s="876"/>
      <c r="J4" s="876"/>
    </row>
    <row r="5" spans="1:10">
      <c r="A5" s="85"/>
      <c r="B5" s="85"/>
      <c r="C5" s="85"/>
      <c r="D5" s="85"/>
      <c r="E5" s="85"/>
      <c r="F5" s="85"/>
      <c r="G5" s="876"/>
      <c r="H5" s="876"/>
      <c r="I5" s="876"/>
      <c r="J5" s="876"/>
    </row>
    <row r="6" spans="1:10" ht="16.149999999999999" customHeight="1">
      <c r="A6" s="104" t="s">
        <v>543</v>
      </c>
      <c r="B6" s="183">
        <f>Basbelopp!Y125</f>
        <v>15933.63</v>
      </c>
      <c r="C6" s="85"/>
      <c r="D6" s="876"/>
      <c r="E6" s="85"/>
      <c r="F6" s="85"/>
      <c r="G6" s="876"/>
      <c r="H6" s="876"/>
      <c r="I6" s="876"/>
      <c r="J6" s="876"/>
    </row>
    <row r="7" spans="1:10">
      <c r="A7" s="104" t="s">
        <v>538</v>
      </c>
      <c r="B7" s="239">
        <v>1</v>
      </c>
      <c r="C7" s="85"/>
      <c r="D7" s="85"/>
      <c r="E7" s="85"/>
      <c r="F7" s="85"/>
      <c r="G7" s="876"/>
      <c r="H7" s="876"/>
      <c r="I7" s="876"/>
      <c r="J7" s="876"/>
    </row>
    <row r="8" spans="1:10">
      <c r="A8" s="85"/>
      <c r="B8" s="239"/>
      <c r="C8" s="85"/>
      <c r="D8" s="85"/>
      <c r="E8" s="85"/>
      <c r="F8" s="85"/>
      <c r="G8" s="876"/>
      <c r="H8" s="876"/>
      <c r="I8" s="876"/>
      <c r="J8" s="876"/>
    </row>
    <row r="9" spans="1:10">
      <c r="A9" s="105"/>
      <c r="B9" s="103" t="s">
        <v>536</v>
      </c>
      <c r="C9" s="103" t="s">
        <v>537</v>
      </c>
      <c r="D9" s="201" t="s">
        <v>551</v>
      </c>
      <c r="E9" s="85"/>
      <c r="F9" s="85"/>
      <c r="G9" s="876"/>
      <c r="H9" s="876"/>
      <c r="I9" s="876"/>
      <c r="J9" s="876"/>
    </row>
    <row r="10" spans="1:10">
      <c r="A10" s="104" t="s">
        <v>93</v>
      </c>
      <c r="B10" s="240">
        <v>0</v>
      </c>
      <c r="C10" s="93">
        <f>$B$6*B10</f>
        <v>0</v>
      </c>
      <c r="D10" s="118">
        <f>ROUND(C10*$B$7,2)</f>
        <v>0</v>
      </c>
      <c r="E10" s="85"/>
      <c r="F10" s="85"/>
      <c r="G10" s="876"/>
      <c r="H10" s="876"/>
      <c r="I10" s="876"/>
      <c r="J10" s="913"/>
    </row>
    <row r="11" spans="1:10">
      <c r="A11" s="104" t="s">
        <v>94</v>
      </c>
      <c r="B11" s="240">
        <v>0</v>
      </c>
      <c r="C11" s="93">
        <f>$B$6*B11</f>
        <v>0</v>
      </c>
      <c r="D11" s="118">
        <f>ROUND(C11*$B$7,2)</f>
        <v>0</v>
      </c>
      <c r="E11" s="85"/>
      <c r="F11" s="85"/>
      <c r="G11" s="876"/>
      <c r="H11" s="876"/>
      <c r="I11" s="876"/>
      <c r="J11" s="913"/>
    </row>
    <row r="12" spans="1:10">
      <c r="A12" s="104" t="s">
        <v>95</v>
      </c>
      <c r="B12" s="240">
        <v>10</v>
      </c>
      <c r="C12" s="93">
        <f>$B$6*B12</f>
        <v>159336.29999999999</v>
      </c>
      <c r="D12" s="118">
        <f t="shared" ref="D12:D25" si="0">ROUND(C12*$B$7,2)</f>
        <v>159336.29999999999</v>
      </c>
      <c r="E12" s="85"/>
      <c r="F12" s="85"/>
      <c r="G12" s="876"/>
      <c r="H12" s="876"/>
      <c r="I12" s="876"/>
      <c r="J12" s="913"/>
    </row>
    <row r="13" spans="1:10">
      <c r="A13" s="104" t="s">
        <v>96</v>
      </c>
      <c r="B13" s="240">
        <v>0</v>
      </c>
      <c r="C13" s="93">
        <f t="shared" ref="C13:C25" si="1">$B$6*B13</f>
        <v>0</v>
      </c>
      <c r="D13" s="118">
        <f t="shared" si="0"/>
        <v>0</v>
      </c>
      <c r="E13" s="85"/>
      <c r="F13" s="85"/>
      <c r="G13" s="876"/>
      <c r="H13" s="876"/>
      <c r="I13" s="876"/>
      <c r="J13" s="913"/>
    </row>
    <row r="14" spans="1:10">
      <c r="A14" s="104" t="s">
        <v>97</v>
      </c>
      <c r="B14" s="240">
        <v>1</v>
      </c>
      <c r="C14" s="93">
        <f t="shared" si="1"/>
        <v>15933.63</v>
      </c>
      <c r="D14" s="118">
        <f t="shared" si="0"/>
        <v>15933.63</v>
      </c>
      <c r="E14" s="85"/>
      <c r="F14" s="85"/>
      <c r="G14" s="876"/>
      <c r="H14" s="876"/>
      <c r="I14" s="876"/>
      <c r="J14" s="913"/>
    </row>
    <row r="15" spans="1:10">
      <c r="A15" s="104" t="s">
        <v>98</v>
      </c>
      <c r="B15" s="240">
        <v>2</v>
      </c>
      <c r="C15" s="93">
        <f t="shared" si="1"/>
        <v>31867.26</v>
      </c>
      <c r="D15" s="118">
        <f t="shared" si="0"/>
        <v>31867.26</v>
      </c>
      <c r="E15" s="85"/>
      <c r="F15" s="85"/>
      <c r="G15" s="876"/>
      <c r="H15" s="876"/>
      <c r="I15" s="876"/>
      <c r="J15" s="913"/>
    </row>
    <row r="16" spans="1:10">
      <c r="A16" s="104" t="s">
        <v>99</v>
      </c>
      <c r="B16" s="240">
        <v>0</v>
      </c>
      <c r="C16" s="93">
        <f t="shared" si="1"/>
        <v>0</v>
      </c>
      <c r="D16" s="118">
        <f t="shared" si="0"/>
        <v>0</v>
      </c>
      <c r="E16" s="85"/>
      <c r="F16" s="85"/>
      <c r="G16" s="876"/>
      <c r="H16" s="876"/>
      <c r="I16" s="876"/>
      <c r="J16" s="913"/>
    </row>
    <row r="17" spans="1:15">
      <c r="A17" s="104" t="s">
        <v>100</v>
      </c>
      <c r="B17" s="240">
        <v>0</v>
      </c>
      <c r="C17" s="93">
        <f t="shared" si="1"/>
        <v>0</v>
      </c>
      <c r="D17" s="118">
        <f t="shared" si="0"/>
        <v>0</v>
      </c>
      <c r="E17" s="85"/>
      <c r="F17" s="85"/>
      <c r="G17" s="876"/>
      <c r="H17" s="876"/>
      <c r="I17" s="876"/>
      <c r="J17" s="913"/>
      <c r="K17" s="876"/>
      <c r="L17" s="876"/>
      <c r="M17" s="876"/>
      <c r="N17" s="876"/>
      <c r="O17" s="876"/>
    </row>
    <row r="18" spans="1:15">
      <c r="A18" s="104" t="s">
        <v>101</v>
      </c>
      <c r="B18" s="240">
        <v>2</v>
      </c>
      <c r="C18" s="93">
        <f t="shared" si="1"/>
        <v>31867.26</v>
      </c>
      <c r="D18" s="118">
        <f t="shared" si="0"/>
        <v>31867.26</v>
      </c>
      <c r="E18" s="85"/>
      <c r="F18" s="85"/>
      <c r="G18" s="876"/>
      <c r="H18" s="876"/>
      <c r="I18" s="876"/>
      <c r="J18" s="913"/>
      <c r="K18" s="876"/>
      <c r="L18" s="876"/>
      <c r="M18" s="876"/>
      <c r="N18" s="876"/>
      <c r="O18" s="876"/>
    </row>
    <row r="19" spans="1:15">
      <c r="A19" s="104" t="s">
        <v>102</v>
      </c>
      <c r="B19" s="240">
        <v>2</v>
      </c>
      <c r="C19" s="93">
        <f t="shared" si="1"/>
        <v>31867.26</v>
      </c>
      <c r="D19" s="118">
        <f t="shared" si="0"/>
        <v>31867.26</v>
      </c>
      <c r="E19" s="85"/>
      <c r="F19" s="85"/>
      <c r="G19" s="876"/>
      <c r="H19" s="876"/>
      <c r="I19" s="876"/>
      <c r="J19" s="913"/>
      <c r="K19" s="876"/>
      <c r="L19" s="876"/>
      <c r="M19" s="876"/>
      <c r="N19" s="876"/>
      <c r="O19" s="876"/>
    </row>
    <row r="20" spans="1:15">
      <c r="A20" s="104" t="s">
        <v>103</v>
      </c>
      <c r="B20" s="240">
        <v>0</v>
      </c>
      <c r="C20" s="93">
        <f t="shared" si="1"/>
        <v>0</v>
      </c>
      <c r="D20" s="118">
        <f t="shared" si="0"/>
        <v>0</v>
      </c>
      <c r="E20" s="85"/>
      <c r="F20" s="85"/>
      <c r="G20" s="876"/>
      <c r="H20" s="876"/>
      <c r="I20" s="876"/>
      <c r="J20" s="913"/>
      <c r="K20" s="876"/>
      <c r="L20" s="876"/>
      <c r="M20" s="876"/>
      <c r="N20" s="876"/>
      <c r="O20" s="876"/>
    </row>
    <row r="21" spans="1:15">
      <c r="A21" s="104" t="s">
        <v>104</v>
      </c>
      <c r="B21" s="240">
        <v>1</v>
      </c>
      <c r="C21" s="93">
        <f t="shared" si="1"/>
        <v>15933.63</v>
      </c>
      <c r="D21" s="118">
        <f t="shared" si="0"/>
        <v>15933.63</v>
      </c>
      <c r="E21" s="85"/>
      <c r="F21" s="85"/>
      <c r="G21" s="882"/>
      <c r="H21" s="876"/>
      <c r="I21" s="876"/>
      <c r="J21" s="913"/>
      <c r="K21" s="876"/>
      <c r="L21" s="876"/>
      <c r="M21" s="876"/>
      <c r="N21" s="876"/>
      <c r="O21" s="876"/>
    </row>
    <row r="22" spans="1:15">
      <c r="A22" s="104" t="s">
        <v>105</v>
      </c>
      <c r="B22" s="240">
        <v>0</v>
      </c>
      <c r="C22" s="93">
        <f t="shared" si="1"/>
        <v>0</v>
      </c>
      <c r="D22" s="118">
        <f t="shared" si="0"/>
        <v>0</v>
      </c>
      <c r="E22" s="85"/>
      <c r="F22" s="85"/>
      <c r="G22" s="882"/>
      <c r="H22" s="876"/>
      <c r="I22" s="876"/>
      <c r="J22" s="913"/>
      <c r="K22" s="876"/>
      <c r="L22" s="876"/>
      <c r="M22" s="876"/>
      <c r="N22" s="876"/>
      <c r="O22" s="876"/>
    </row>
    <row r="23" spans="1:15">
      <c r="A23" s="104" t="s">
        <v>106</v>
      </c>
      <c r="B23" s="240">
        <v>0</v>
      </c>
      <c r="C23" s="93">
        <f t="shared" si="1"/>
        <v>0</v>
      </c>
      <c r="D23" s="118">
        <f t="shared" si="0"/>
        <v>0</v>
      </c>
      <c r="E23" s="85"/>
      <c r="F23" s="85"/>
      <c r="G23" s="876"/>
      <c r="H23" s="876"/>
      <c r="I23" s="876"/>
      <c r="J23" s="913"/>
      <c r="K23" s="876"/>
      <c r="L23" s="876"/>
      <c r="M23" s="876"/>
      <c r="N23" s="876"/>
      <c r="O23" s="876"/>
    </row>
    <row r="24" spans="1:15">
      <c r="A24" s="104" t="s">
        <v>107</v>
      </c>
      <c r="B24" s="240">
        <v>1</v>
      </c>
      <c r="C24" s="93">
        <f t="shared" si="1"/>
        <v>15933.63</v>
      </c>
      <c r="D24" s="118">
        <f t="shared" si="0"/>
        <v>15933.63</v>
      </c>
      <c r="E24" s="85"/>
      <c r="F24" s="85"/>
      <c r="G24" s="876"/>
      <c r="H24" s="876"/>
      <c r="I24" s="876"/>
      <c r="J24" s="913"/>
      <c r="K24" s="876"/>
      <c r="L24" s="876"/>
      <c r="M24" s="876"/>
      <c r="N24" s="876"/>
      <c r="O24" s="876"/>
    </row>
    <row r="25" spans="1:15" ht="15.75" thickBot="1">
      <c r="A25" s="103" t="s">
        <v>108</v>
      </c>
      <c r="B25" s="242">
        <v>36</v>
      </c>
      <c r="C25" s="94">
        <f t="shared" si="1"/>
        <v>573610.67999999993</v>
      </c>
      <c r="D25" s="120">
        <f t="shared" si="0"/>
        <v>573610.68000000005</v>
      </c>
      <c r="E25" s="85"/>
      <c r="F25" s="85"/>
      <c r="G25" s="882"/>
      <c r="H25" s="876"/>
      <c r="I25" s="876"/>
      <c r="J25" s="876"/>
      <c r="K25" s="876"/>
      <c r="L25" s="876"/>
      <c r="M25" s="876"/>
      <c r="N25" s="876"/>
      <c r="O25" s="85" t="s">
        <v>545</v>
      </c>
    </row>
    <row r="26" spans="1:15" ht="16.5" thickTop="1" thickBot="1">
      <c r="A26" s="104" t="s">
        <v>109</v>
      </c>
      <c r="B26" s="244">
        <f>SUM(B10:B25)</f>
        <v>55</v>
      </c>
      <c r="C26" s="97">
        <f>SUM(C10:C25)</f>
        <v>876349.64999999991</v>
      </c>
      <c r="D26" s="122">
        <f>SUM(D10:D25)</f>
        <v>876349.65000000014</v>
      </c>
      <c r="E26" s="876"/>
      <c r="F26" s="85"/>
      <c r="G26" s="876"/>
      <c r="H26" s="876"/>
      <c r="I26" s="876"/>
      <c r="J26" s="876"/>
      <c r="K26" s="876"/>
      <c r="L26" s="876"/>
      <c r="M26" s="876"/>
      <c r="N26" s="876"/>
      <c r="O26" s="101">
        <f>D26-'Skola, STR &amp; Spcfr'!F23</f>
        <v>0</v>
      </c>
    </row>
    <row r="27" spans="1:15" ht="15.75" thickTop="1">
      <c r="A27" s="85"/>
      <c r="B27" s="85"/>
      <c r="C27" s="85"/>
      <c r="D27" s="85"/>
      <c r="E27" s="85"/>
      <c r="F27" s="85"/>
      <c r="G27" s="876"/>
      <c r="H27" s="876"/>
      <c r="I27" s="876"/>
      <c r="J27" s="876"/>
      <c r="K27" s="876"/>
      <c r="L27" s="876"/>
      <c r="M27" s="876"/>
      <c r="N27" s="876"/>
      <c r="O27" s="876"/>
    </row>
    <row r="28" spans="1:15">
      <c r="A28" s="53" t="s">
        <v>546</v>
      </c>
      <c r="B28" s="85"/>
      <c r="C28" s="85"/>
      <c r="D28" s="85"/>
      <c r="E28" s="85"/>
      <c r="F28" s="85"/>
      <c r="G28" s="876"/>
      <c r="H28" s="876"/>
      <c r="I28" s="876"/>
      <c r="J28" s="876"/>
      <c r="K28" s="876"/>
      <c r="L28" s="876"/>
      <c r="M28" s="876"/>
      <c r="N28" s="876"/>
      <c r="O28" s="876"/>
    </row>
    <row r="29" spans="1:15">
      <c r="A29" s="53" t="s">
        <v>547</v>
      </c>
      <c r="B29" s="80">
        <v>45548</v>
      </c>
      <c r="C29" s="85"/>
      <c r="D29" s="85"/>
      <c r="E29" s="85"/>
      <c r="F29" s="85"/>
      <c r="G29" s="876"/>
      <c r="H29" s="876"/>
      <c r="I29" s="876"/>
      <c r="J29" s="876"/>
      <c r="K29" s="876"/>
      <c r="L29" s="876"/>
      <c r="M29" s="876"/>
      <c r="N29" s="876"/>
      <c r="O29" s="876"/>
    </row>
    <row r="30" spans="1:15">
      <c r="A30" s="783" t="s">
        <v>548</v>
      </c>
      <c r="B30" s="85"/>
      <c r="C30" s="85"/>
      <c r="D30" s="85"/>
      <c r="E30" s="85"/>
      <c r="F30" s="85"/>
      <c r="G30" s="876"/>
      <c r="H30" s="876"/>
      <c r="I30" s="876"/>
      <c r="J30" s="876"/>
      <c r="K30" s="876"/>
      <c r="L30" s="876"/>
      <c r="M30" s="876"/>
      <c r="N30" s="876"/>
      <c r="O30" s="876"/>
    </row>
    <row r="32" spans="1:15">
      <c r="A32" s="876"/>
      <c r="B32" s="876"/>
      <c r="C32" s="370"/>
      <c r="D32" s="876"/>
      <c r="E32" s="876"/>
      <c r="F32" s="876"/>
      <c r="G32" s="876"/>
      <c r="H32" s="876"/>
      <c r="I32" s="876"/>
      <c r="J32" s="876"/>
      <c r="K32" s="876"/>
      <c r="L32" s="876"/>
      <c r="M32" s="876"/>
      <c r="N32" s="876"/>
      <c r="O32" s="876"/>
    </row>
    <row r="36" spans="5:5" ht="15.75">
      <c r="E36" s="38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8"/>
  <sheetViews>
    <sheetView zoomScaleNormal="100" workbookViewId="0">
      <selection activeCell="C12" sqref="C12"/>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8" ht="15.75">
      <c r="A1" s="11" t="s">
        <v>552</v>
      </c>
      <c r="B1" s="876"/>
      <c r="C1" s="876"/>
      <c r="D1" s="876"/>
      <c r="E1" s="876"/>
      <c r="F1" s="876"/>
      <c r="G1" s="876"/>
      <c r="H1" s="876"/>
    </row>
    <row r="2" spans="1:8">
      <c r="A2" s="876" t="s">
        <v>541</v>
      </c>
      <c r="B2" s="876"/>
      <c r="C2" s="876"/>
      <c r="D2" s="876"/>
      <c r="E2" s="876"/>
      <c r="F2" s="876"/>
      <c r="G2" s="876"/>
      <c r="H2" s="876"/>
    </row>
    <row r="4" spans="1:8">
      <c r="A4" s="53" t="s">
        <v>550</v>
      </c>
      <c r="B4" s="85"/>
      <c r="C4" s="85"/>
      <c r="D4" s="85"/>
      <c r="E4" s="85"/>
      <c r="F4" s="85"/>
      <c r="G4" s="876"/>
      <c r="H4" s="876"/>
    </row>
    <row r="5" spans="1:8">
      <c r="A5" s="85"/>
      <c r="B5" s="85"/>
      <c r="C5" s="85"/>
      <c r="D5" s="85"/>
      <c r="E5" s="85"/>
      <c r="F5" s="85"/>
      <c r="G5" s="876"/>
      <c r="H5" s="876"/>
    </row>
    <row r="6" spans="1:8" ht="16.149999999999999" customHeight="1">
      <c r="A6" s="104" t="s">
        <v>543</v>
      </c>
      <c r="B6" s="183">
        <f>Basbelopp!Y126</f>
        <v>17523.419999999998</v>
      </c>
      <c r="C6" s="85"/>
      <c r="D6" s="876"/>
      <c r="E6" s="85"/>
      <c r="F6" s="85"/>
      <c r="G6" s="876"/>
      <c r="H6" s="876"/>
    </row>
    <row r="7" spans="1:8">
      <c r="A7" s="104" t="s">
        <v>538</v>
      </c>
      <c r="B7" s="239">
        <v>1</v>
      </c>
      <c r="C7" s="85"/>
      <c r="D7" s="85"/>
      <c r="E7" s="85"/>
      <c r="F7" s="85"/>
      <c r="G7" s="876"/>
      <c r="H7" s="876"/>
    </row>
    <row r="8" spans="1:8">
      <c r="A8" s="85"/>
      <c r="B8" s="239"/>
      <c r="C8" s="85"/>
      <c r="D8" s="85"/>
      <c r="E8" s="85"/>
      <c r="F8" s="85"/>
      <c r="G8" s="876"/>
      <c r="H8" s="876"/>
    </row>
    <row r="9" spans="1:8">
      <c r="A9" s="105"/>
      <c r="B9" s="103" t="s">
        <v>536</v>
      </c>
      <c r="C9" s="103" t="s">
        <v>537</v>
      </c>
      <c r="D9" s="201" t="s">
        <v>551</v>
      </c>
      <c r="E9" s="85"/>
      <c r="F9" s="876"/>
      <c r="G9" s="876"/>
      <c r="H9" s="876"/>
    </row>
    <row r="10" spans="1:8">
      <c r="A10" s="104" t="s">
        <v>93</v>
      </c>
      <c r="B10" s="240">
        <v>0</v>
      </c>
      <c r="C10" s="93">
        <f>$B$6*B10</f>
        <v>0</v>
      </c>
      <c r="D10" s="118">
        <f>ROUND(C10*$B$7,2)</f>
        <v>0</v>
      </c>
      <c r="E10" s="85"/>
      <c r="F10" s="876"/>
      <c r="G10" s="876"/>
      <c r="H10" s="913"/>
    </row>
    <row r="11" spans="1:8">
      <c r="A11" s="104" t="s">
        <v>94</v>
      </c>
      <c r="B11" s="240">
        <v>0</v>
      </c>
      <c r="C11" s="93">
        <f>$B$6*B11</f>
        <v>0</v>
      </c>
      <c r="D11" s="118">
        <f>ROUND(C11*$B$7,2)</f>
        <v>0</v>
      </c>
      <c r="E11" s="85"/>
      <c r="F11" s="876"/>
      <c r="G11" s="876"/>
      <c r="H11" s="913"/>
    </row>
    <row r="12" spans="1:8">
      <c r="A12" s="104" t="s">
        <v>95</v>
      </c>
      <c r="B12" s="240">
        <v>3</v>
      </c>
      <c r="C12" s="93">
        <f>$B$6*B12</f>
        <v>52570.259999999995</v>
      </c>
      <c r="D12" s="118">
        <f>ROUND(C12*$B$7,2)</f>
        <v>52570.26</v>
      </c>
      <c r="E12" s="85"/>
      <c r="F12" s="483"/>
      <c r="G12" s="876"/>
      <c r="H12" s="913"/>
    </row>
    <row r="13" spans="1:8">
      <c r="A13" s="104" t="s">
        <v>96</v>
      </c>
      <c r="B13" s="240">
        <v>0</v>
      </c>
      <c r="C13" s="93">
        <f t="shared" ref="C13:C25" si="0">$B$6*B13</f>
        <v>0</v>
      </c>
      <c r="D13" s="118">
        <f t="shared" ref="D13:D25" si="1">ROUND(C13*$B$7,2)</f>
        <v>0</v>
      </c>
      <c r="E13" s="85"/>
      <c r="F13" s="876"/>
      <c r="G13" s="876"/>
      <c r="H13" s="913"/>
    </row>
    <row r="14" spans="1:8">
      <c r="A14" s="104" t="s">
        <v>97</v>
      </c>
      <c r="B14" s="240">
        <v>0</v>
      </c>
      <c r="C14" s="93">
        <f t="shared" si="0"/>
        <v>0</v>
      </c>
      <c r="D14" s="118">
        <f t="shared" si="1"/>
        <v>0</v>
      </c>
      <c r="E14" s="85"/>
      <c r="F14" s="876"/>
      <c r="G14" s="876"/>
      <c r="H14" s="913"/>
    </row>
    <row r="15" spans="1:8">
      <c r="A15" s="104" t="s">
        <v>98</v>
      </c>
      <c r="B15" s="240">
        <v>0</v>
      </c>
      <c r="C15" s="93">
        <f t="shared" si="0"/>
        <v>0</v>
      </c>
      <c r="D15" s="118">
        <f t="shared" si="1"/>
        <v>0</v>
      </c>
      <c r="E15" s="85"/>
      <c r="F15" s="876"/>
      <c r="G15" s="876"/>
      <c r="H15" s="913"/>
    </row>
    <row r="16" spans="1:8">
      <c r="A16" s="104" t="s">
        <v>99</v>
      </c>
      <c r="B16" s="240">
        <v>0</v>
      </c>
      <c r="C16" s="93">
        <f t="shared" si="0"/>
        <v>0</v>
      </c>
      <c r="D16" s="118">
        <f t="shared" si="1"/>
        <v>0</v>
      </c>
      <c r="E16" s="85"/>
      <c r="F16" s="876"/>
      <c r="G16" s="876"/>
      <c r="H16" s="913"/>
    </row>
    <row r="17" spans="1:10">
      <c r="A17" s="104" t="s">
        <v>100</v>
      </c>
      <c r="B17" s="240">
        <v>2</v>
      </c>
      <c r="C17" s="93">
        <f t="shared" si="0"/>
        <v>35046.839999999997</v>
      </c>
      <c r="D17" s="118">
        <f t="shared" si="1"/>
        <v>35046.839999999997</v>
      </c>
      <c r="E17" s="85"/>
      <c r="F17" s="876"/>
      <c r="G17" s="876"/>
      <c r="H17" s="913"/>
      <c r="I17" s="876"/>
      <c r="J17" s="876"/>
    </row>
    <row r="18" spans="1:10">
      <c r="A18" s="104" t="s">
        <v>101</v>
      </c>
      <c r="B18" s="240">
        <v>0</v>
      </c>
      <c r="C18" s="93">
        <f t="shared" si="0"/>
        <v>0</v>
      </c>
      <c r="D18" s="118">
        <f t="shared" si="1"/>
        <v>0</v>
      </c>
      <c r="E18" s="85"/>
      <c r="F18" s="876"/>
      <c r="G18" s="876"/>
      <c r="H18" s="913"/>
      <c r="I18" s="876"/>
      <c r="J18" s="876"/>
    </row>
    <row r="19" spans="1:10">
      <c r="A19" s="104" t="s">
        <v>102</v>
      </c>
      <c r="B19" s="240">
        <v>1</v>
      </c>
      <c r="C19" s="93">
        <f t="shared" si="0"/>
        <v>17523.419999999998</v>
      </c>
      <c r="D19" s="118">
        <f t="shared" si="1"/>
        <v>17523.419999999998</v>
      </c>
      <c r="E19" s="85"/>
      <c r="F19" s="876"/>
      <c r="G19" s="876"/>
      <c r="H19" s="913"/>
      <c r="I19" s="876"/>
      <c r="J19" s="876"/>
    </row>
    <row r="20" spans="1:10">
      <c r="A20" s="104" t="s">
        <v>103</v>
      </c>
      <c r="B20" s="240">
        <v>0</v>
      </c>
      <c r="C20" s="93">
        <f t="shared" si="0"/>
        <v>0</v>
      </c>
      <c r="D20" s="118">
        <f t="shared" si="1"/>
        <v>0</v>
      </c>
      <c r="E20" s="85"/>
      <c r="F20" s="876"/>
      <c r="G20" s="876"/>
      <c r="H20" s="913"/>
      <c r="I20" s="876"/>
      <c r="J20" s="876"/>
    </row>
    <row r="21" spans="1:10">
      <c r="A21" s="104" t="s">
        <v>104</v>
      </c>
      <c r="B21" s="240">
        <v>0</v>
      </c>
      <c r="C21" s="93">
        <f t="shared" si="0"/>
        <v>0</v>
      </c>
      <c r="D21" s="118">
        <f t="shared" si="1"/>
        <v>0</v>
      </c>
      <c r="E21" s="85"/>
      <c r="F21" s="876"/>
      <c r="G21" s="876"/>
      <c r="H21" s="913"/>
      <c r="I21" s="876"/>
      <c r="J21" s="876"/>
    </row>
    <row r="22" spans="1:10">
      <c r="A22" s="104" t="s">
        <v>105</v>
      </c>
      <c r="B22" s="240">
        <v>0</v>
      </c>
      <c r="C22" s="93">
        <f t="shared" si="0"/>
        <v>0</v>
      </c>
      <c r="D22" s="118">
        <f t="shared" si="1"/>
        <v>0</v>
      </c>
      <c r="E22" s="85"/>
      <c r="F22" s="876"/>
      <c r="G22" s="876"/>
      <c r="H22" s="913"/>
      <c r="I22" s="876"/>
      <c r="J22" s="876"/>
    </row>
    <row r="23" spans="1:10">
      <c r="A23" s="104" t="s">
        <v>106</v>
      </c>
      <c r="B23" s="240">
        <v>0</v>
      </c>
      <c r="C23" s="93">
        <f t="shared" si="0"/>
        <v>0</v>
      </c>
      <c r="D23" s="118">
        <f t="shared" si="1"/>
        <v>0</v>
      </c>
      <c r="E23" s="85"/>
      <c r="F23" s="876"/>
      <c r="G23" s="876"/>
      <c r="H23" s="913"/>
      <c r="I23" s="876"/>
      <c r="J23" s="876"/>
    </row>
    <row r="24" spans="1:10">
      <c r="A24" s="104" t="s">
        <v>107</v>
      </c>
      <c r="B24" s="240">
        <v>0</v>
      </c>
      <c r="C24" s="93">
        <f t="shared" si="0"/>
        <v>0</v>
      </c>
      <c r="D24" s="118">
        <f t="shared" si="1"/>
        <v>0</v>
      </c>
      <c r="E24" s="85"/>
      <c r="F24" s="876"/>
      <c r="G24" s="876"/>
      <c r="H24" s="913"/>
      <c r="I24" s="876"/>
      <c r="J24" s="876"/>
    </row>
    <row r="25" spans="1:10" ht="15.75" thickBot="1">
      <c r="A25" s="103" t="s">
        <v>108</v>
      </c>
      <c r="B25" s="242">
        <v>9</v>
      </c>
      <c r="C25" s="94">
        <f t="shared" si="0"/>
        <v>157710.77999999997</v>
      </c>
      <c r="D25" s="120">
        <f t="shared" si="1"/>
        <v>157710.78</v>
      </c>
      <c r="E25" s="85"/>
      <c r="F25" s="876"/>
      <c r="G25" s="876"/>
      <c r="H25" s="876"/>
      <c r="I25" s="876"/>
      <c r="J25" s="85" t="s">
        <v>545</v>
      </c>
    </row>
    <row r="26" spans="1:10" ht="16.5" thickTop="1" thickBot="1">
      <c r="A26" s="104" t="s">
        <v>109</v>
      </c>
      <c r="B26" s="244">
        <f>SUM(B10:B25)</f>
        <v>15</v>
      </c>
      <c r="C26" s="97">
        <f>SUM(C10:C25)</f>
        <v>262851.29999999993</v>
      </c>
      <c r="D26" s="122">
        <f>SUM(D10:D25)</f>
        <v>262851.3</v>
      </c>
      <c r="E26" s="876"/>
      <c r="F26" s="876"/>
      <c r="G26" s="876"/>
      <c r="H26" s="876"/>
      <c r="I26" s="876"/>
      <c r="J26" s="101">
        <f>D26-'Skola, STR &amp; Spcfr'!E23</f>
        <v>0</v>
      </c>
    </row>
    <row r="27" spans="1:10" ht="15.75" thickTop="1">
      <c r="A27" s="85"/>
      <c r="B27" s="85"/>
      <c r="C27" s="85"/>
      <c r="D27" s="85"/>
      <c r="E27" s="85"/>
      <c r="F27" s="876"/>
      <c r="G27" s="876"/>
      <c r="H27" s="876"/>
      <c r="I27" s="876"/>
      <c r="J27" s="876"/>
    </row>
    <row r="28" spans="1:10">
      <c r="A28" s="53" t="s">
        <v>546</v>
      </c>
      <c r="B28" s="85"/>
      <c r="C28" s="85"/>
      <c r="D28" s="85"/>
      <c r="E28" s="85"/>
      <c r="F28" s="876"/>
      <c r="G28" s="876"/>
      <c r="H28" s="876"/>
      <c r="I28" s="876"/>
      <c r="J28" s="876"/>
    </row>
    <row r="29" spans="1:10">
      <c r="A29" s="53" t="s">
        <v>547</v>
      </c>
      <c r="B29" s="80">
        <v>45548</v>
      </c>
      <c r="C29" s="85"/>
      <c r="D29" s="85"/>
      <c r="E29" s="85"/>
      <c r="F29" s="85"/>
      <c r="G29" s="876"/>
      <c r="H29" s="876"/>
      <c r="I29" s="876"/>
      <c r="J29" s="876"/>
    </row>
    <row r="30" spans="1:10">
      <c r="A30" s="783" t="s">
        <v>548</v>
      </c>
      <c r="B30" s="85"/>
      <c r="C30" s="85"/>
      <c r="D30" s="85"/>
      <c r="E30" s="85"/>
      <c r="F30" s="85"/>
      <c r="G30" s="876"/>
      <c r="H30" s="876"/>
      <c r="I30" s="876"/>
      <c r="J30" s="876"/>
    </row>
    <row r="32" spans="1:10">
      <c r="A32" s="876"/>
      <c r="B32" s="876"/>
      <c r="C32" s="370"/>
      <c r="D32" s="876"/>
      <c r="E32" s="876"/>
      <c r="F32" s="876"/>
      <c r="G32" s="876"/>
      <c r="H32" s="876"/>
      <c r="I32" s="876"/>
      <c r="J32" s="876"/>
    </row>
    <row r="38" spans="6:6" ht="15.75">
      <c r="F38" s="38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6"/>
  <sheetViews>
    <sheetView topLeftCell="A11" zoomScaleNormal="100" workbookViewId="0">
      <selection activeCell="G25" sqref="G25"/>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6" ht="15.75">
      <c r="A1" s="11" t="s">
        <v>553</v>
      </c>
      <c r="B1" s="876"/>
      <c r="C1" s="876"/>
      <c r="D1" s="876"/>
      <c r="E1" s="876"/>
      <c r="F1" s="876"/>
    </row>
    <row r="2" spans="1:6">
      <c r="A2" s="876" t="s">
        <v>541</v>
      </c>
      <c r="B2" s="876"/>
      <c r="C2" s="876"/>
      <c r="D2" s="876"/>
      <c r="E2" s="876"/>
      <c r="F2" s="876"/>
    </row>
    <row r="4" spans="1:6">
      <c r="A4" s="53" t="s">
        <v>554</v>
      </c>
      <c r="B4" s="85"/>
      <c r="C4" s="85"/>
      <c r="D4" s="85"/>
      <c r="E4" s="85"/>
      <c r="F4" s="85"/>
    </row>
    <row r="5" spans="1:6">
      <c r="A5" s="85"/>
      <c r="B5" s="85"/>
      <c r="C5" s="85"/>
      <c r="D5" s="85"/>
      <c r="E5" s="85"/>
      <c r="F5" s="85"/>
    </row>
    <row r="6" spans="1:6" ht="16.149999999999999" customHeight="1">
      <c r="A6" s="104" t="s">
        <v>543</v>
      </c>
      <c r="B6" s="183">
        <f>Basbelopp!Y124</f>
        <v>17170.669999999998</v>
      </c>
      <c r="C6" s="85"/>
      <c r="D6" s="876"/>
      <c r="E6" s="85"/>
      <c r="F6" s="85"/>
    </row>
    <row r="7" spans="1:6">
      <c r="A7" s="104" t="s">
        <v>538</v>
      </c>
      <c r="B7" s="239">
        <v>1</v>
      </c>
      <c r="C7" s="85"/>
      <c r="D7" s="85"/>
      <c r="E7" s="85"/>
      <c r="F7" s="85"/>
    </row>
    <row r="8" spans="1:6">
      <c r="A8" s="85"/>
      <c r="B8" s="239"/>
      <c r="C8" s="85"/>
      <c r="D8" s="85"/>
      <c r="E8" s="85"/>
      <c r="F8" s="85"/>
    </row>
    <row r="9" spans="1:6">
      <c r="A9" s="105"/>
      <c r="B9" s="103" t="s">
        <v>536</v>
      </c>
      <c r="C9" s="103" t="s">
        <v>537</v>
      </c>
      <c r="D9" s="201" t="s">
        <v>551</v>
      </c>
      <c r="E9" s="85"/>
      <c r="F9" s="85"/>
    </row>
    <row r="10" spans="1:6">
      <c r="A10" s="104" t="s">
        <v>93</v>
      </c>
      <c r="B10" s="240">
        <v>0</v>
      </c>
      <c r="C10" s="93">
        <f>$B$6*B10</f>
        <v>0</v>
      </c>
      <c r="D10" s="118">
        <f>ROUND(C10*$B$7,2)</f>
        <v>0</v>
      </c>
      <c r="E10" s="85"/>
      <c r="F10" s="85"/>
    </row>
    <row r="11" spans="1:6">
      <c r="A11" s="104" t="s">
        <v>94</v>
      </c>
      <c r="B11" s="240">
        <v>2</v>
      </c>
      <c r="C11" s="93">
        <f>$B$6*B11</f>
        <v>34341.339999999997</v>
      </c>
      <c r="D11" s="118">
        <f>ROUND(C11*$B$7,2)</f>
        <v>34341.339999999997</v>
      </c>
      <c r="E11" s="85"/>
      <c r="F11" s="85"/>
    </row>
    <row r="12" spans="1:6">
      <c r="A12" s="104" t="s">
        <v>95</v>
      </c>
      <c r="B12" s="240">
        <v>4</v>
      </c>
      <c r="C12" s="93">
        <f>$B$6*B12</f>
        <v>68682.679999999993</v>
      </c>
      <c r="D12" s="118">
        <f t="shared" ref="D12:D25" si="0">ROUND(C12*$B$7,2)</f>
        <v>68682.679999999993</v>
      </c>
      <c r="E12" s="85"/>
      <c r="F12" s="85"/>
    </row>
    <row r="13" spans="1:6">
      <c r="A13" s="104" t="s">
        <v>96</v>
      </c>
      <c r="B13" s="240">
        <v>0</v>
      </c>
      <c r="C13" s="93">
        <f t="shared" ref="C13:C25" si="1">$B$6*B13</f>
        <v>0</v>
      </c>
      <c r="D13" s="118">
        <f t="shared" si="0"/>
        <v>0</v>
      </c>
      <c r="E13" s="85"/>
      <c r="F13" s="85"/>
    </row>
    <row r="14" spans="1:6">
      <c r="A14" s="104" t="s">
        <v>97</v>
      </c>
      <c r="B14" s="240">
        <v>0</v>
      </c>
      <c r="C14" s="93">
        <f t="shared" si="1"/>
        <v>0</v>
      </c>
      <c r="D14" s="118">
        <f t="shared" si="0"/>
        <v>0</v>
      </c>
      <c r="E14" s="85"/>
      <c r="F14" s="85"/>
    </row>
    <row r="15" spans="1:6">
      <c r="A15" s="104" t="s">
        <v>98</v>
      </c>
      <c r="B15" s="240">
        <v>1</v>
      </c>
      <c r="C15" s="93">
        <f t="shared" si="1"/>
        <v>17170.669999999998</v>
      </c>
      <c r="D15" s="118">
        <f t="shared" si="0"/>
        <v>17170.669999999998</v>
      </c>
      <c r="E15" s="85"/>
      <c r="F15" s="85"/>
    </row>
    <row r="16" spans="1:6">
      <c r="A16" s="104" t="s">
        <v>99</v>
      </c>
      <c r="B16" s="240">
        <v>10</v>
      </c>
      <c r="C16" s="93">
        <f t="shared" si="1"/>
        <v>171706.69999999998</v>
      </c>
      <c r="D16" s="118">
        <f t="shared" si="0"/>
        <v>171706.7</v>
      </c>
      <c r="E16" s="85"/>
      <c r="F16" s="85"/>
    </row>
    <row r="17" spans="1:10">
      <c r="A17" s="104" t="s">
        <v>100</v>
      </c>
      <c r="B17" s="240">
        <v>0</v>
      </c>
      <c r="C17" s="93">
        <f t="shared" si="1"/>
        <v>0</v>
      </c>
      <c r="D17" s="118">
        <f t="shared" si="0"/>
        <v>0</v>
      </c>
      <c r="E17" s="85"/>
      <c r="F17" s="85"/>
      <c r="G17" s="876"/>
      <c r="H17" s="876"/>
      <c r="I17" s="876"/>
      <c r="J17" s="876"/>
    </row>
    <row r="18" spans="1:10">
      <c r="A18" s="104" t="s">
        <v>101</v>
      </c>
      <c r="B18" s="240">
        <v>0</v>
      </c>
      <c r="C18" s="93">
        <f t="shared" si="1"/>
        <v>0</v>
      </c>
      <c r="D18" s="118">
        <f t="shared" si="0"/>
        <v>0</v>
      </c>
      <c r="E18" s="85"/>
      <c r="F18" s="85"/>
      <c r="G18" s="876"/>
      <c r="H18" s="876"/>
      <c r="I18" s="876"/>
      <c r="J18" s="876"/>
    </row>
    <row r="19" spans="1:10">
      <c r="A19" s="104" t="s">
        <v>102</v>
      </c>
      <c r="B19" s="240">
        <v>1</v>
      </c>
      <c r="C19" s="93">
        <f t="shared" si="1"/>
        <v>17170.669999999998</v>
      </c>
      <c r="D19" s="118">
        <f t="shared" si="0"/>
        <v>17170.669999999998</v>
      </c>
      <c r="E19" s="85"/>
      <c r="F19" s="85"/>
      <c r="G19" s="876"/>
      <c r="H19" s="876"/>
      <c r="I19" s="876"/>
      <c r="J19" s="876"/>
    </row>
    <row r="20" spans="1:10">
      <c r="A20" s="104" t="s">
        <v>103</v>
      </c>
      <c r="B20" s="240">
        <v>0</v>
      </c>
      <c r="C20" s="93">
        <f t="shared" si="1"/>
        <v>0</v>
      </c>
      <c r="D20" s="118">
        <f t="shared" si="0"/>
        <v>0</v>
      </c>
      <c r="E20" s="85"/>
      <c r="F20" s="85"/>
      <c r="G20" s="876"/>
      <c r="H20" s="876"/>
      <c r="I20" s="876"/>
      <c r="J20" s="876"/>
    </row>
    <row r="21" spans="1:10">
      <c r="A21" s="104" t="s">
        <v>104</v>
      </c>
      <c r="B21" s="240">
        <v>3</v>
      </c>
      <c r="C21" s="93">
        <f t="shared" si="1"/>
        <v>51512.009999999995</v>
      </c>
      <c r="D21" s="118">
        <f t="shared" si="0"/>
        <v>51512.01</v>
      </c>
      <c r="E21" s="85"/>
      <c r="F21" s="85"/>
      <c r="G21" s="882"/>
      <c r="H21" s="913"/>
      <c r="I21" s="876"/>
      <c r="J21" s="876"/>
    </row>
    <row r="22" spans="1:10">
      <c r="A22" s="104" t="s">
        <v>105</v>
      </c>
      <c r="B22" s="240">
        <v>0</v>
      </c>
      <c r="C22" s="93">
        <f t="shared" si="1"/>
        <v>0</v>
      </c>
      <c r="D22" s="118">
        <f t="shared" si="0"/>
        <v>0</v>
      </c>
      <c r="E22" s="85"/>
      <c r="F22" s="85"/>
      <c r="G22" s="882"/>
      <c r="H22" s="876"/>
      <c r="I22" s="876"/>
      <c r="J22" s="876"/>
    </row>
    <row r="23" spans="1:10">
      <c r="A23" s="104" t="s">
        <v>106</v>
      </c>
      <c r="B23" s="240">
        <v>2</v>
      </c>
      <c r="C23" s="93">
        <f t="shared" si="1"/>
        <v>34341.339999999997</v>
      </c>
      <c r="D23" s="118">
        <f t="shared" si="0"/>
        <v>34341.339999999997</v>
      </c>
      <c r="E23" s="85"/>
      <c r="F23" s="85"/>
      <c r="G23" s="876"/>
      <c r="H23" s="876"/>
      <c r="I23" s="876"/>
      <c r="J23" s="876"/>
    </row>
    <row r="24" spans="1:10">
      <c r="A24" s="104" t="s">
        <v>107</v>
      </c>
      <c r="B24" s="240">
        <v>0</v>
      </c>
      <c r="C24" s="93">
        <f t="shared" si="1"/>
        <v>0</v>
      </c>
      <c r="D24" s="118">
        <f t="shared" si="0"/>
        <v>0</v>
      </c>
      <c r="E24" s="85"/>
      <c r="F24" s="85"/>
      <c r="G24" s="876"/>
      <c r="H24" s="876"/>
      <c r="I24" s="876"/>
      <c r="J24" s="876"/>
    </row>
    <row r="25" spans="1:10" ht="15.75" thickBot="1">
      <c r="A25" s="103" t="s">
        <v>108</v>
      </c>
      <c r="B25" s="242">
        <v>5</v>
      </c>
      <c r="C25" s="94">
        <f t="shared" si="1"/>
        <v>85853.349999999991</v>
      </c>
      <c r="D25" s="120">
        <f t="shared" si="0"/>
        <v>85853.35</v>
      </c>
      <c r="E25" s="85"/>
      <c r="F25" s="85"/>
      <c r="G25" s="882"/>
      <c r="H25" s="876"/>
      <c r="I25" s="876"/>
      <c r="J25" s="85" t="s">
        <v>545</v>
      </c>
    </row>
    <row r="26" spans="1:10" ht="16.5" thickTop="1" thickBot="1">
      <c r="A26" s="104" t="s">
        <v>109</v>
      </c>
      <c r="B26" s="244">
        <f>SUM(B10:B25)</f>
        <v>28</v>
      </c>
      <c r="C26" s="97">
        <f>SUM(C10:C25)</f>
        <v>480778.75999999989</v>
      </c>
      <c r="D26" s="122">
        <f>SUM(D10:D25)</f>
        <v>480778.76</v>
      </c>
      <c r="E26" s="876"/>
      <c r="F26" s="85"/>
      <c r="G26" s="876"/>
      <c r="H26" s="876"/>
      <c r="I26" s="876"/>
      <c r="J26" s="101">
        <f>D26-'Skola, STR &amp; Spcfr'!D23</f>
        <v>0</v>
      </c>
    </row>
    <row r="27" spans="1:10" ht="15.75" thickTop="1">
      <c r="A27" s="85"/>
      <c r="B27" s="85"/>
      <c r="C27" s="85"/>
      <c r="D27" s="85"/>
      <c r="E27" s="85"/>
      <c r="F27" s="85"/>
      <c r="G27" s="876"/>
      <c r="H27" s="876"/>
      <c r="I27" s="876"/>
      <c r="J27" s="876"/>
    </row>
    <row r="28" spans="1:10">
      <c r="A28" s="53" t="s">
        <v>546</v>
      </c>
      <c r="B28" s="85"/>
      <c r="C28" s="85"/>
      <c r="D28" s="85"/>
      <c r="E28" s="85"/>
      <c r="F28" s="85"/>
      <c r="G28" s="876"/>
      <c r="H28" s="876"/>
      <c r="I28" s="876"/>
      <c r="J28" s="876"/>
    </row>
    <row r="29" spans="1:10">
      <c r="A29" s="53" t="s">
        <v>547</v>
      </c>
      <c r="B29" s="80">
        <v>45548</v>
      </c>
      <c r="C29" s="85"/>
      <c r="D29" s="85"/>
      <c r="E29" s="85"/>
      <c r="F29" s="85"/>
      <c r="G29" s="876"/>
      <c r="H29" s="876"/>
      <c r="I29" s="876"/>
      <c r="J29" s="876"/>
    </row>
    <row r="30" spans="1:10">
      <c r="A30" s="783" t="s">
        <v>548</v>
      </c>
      <c r="B30" s="85"/>
      <c r="C30" s="85"/>
      <c r="D30" s="85"/>
      <c r="E30" s="85"/>
      <c r="F30" s="85"/>
      <c r="G30" s="876"/>
      <c r="H30" s="876"/>
      <c r="I30" s="876"/>
      <c r="J30" s="876"/>
    </row>
    <row r="32" spans="1:10">
      <c r="A32" s="876"/>
      <c r="B32" s="876"/>
      <c r="C32" s="370"/>
      <c r="D32" s="876"/>
      <c r="E32" s="876"/>
      <c r="F32" s="876"/>
      <c r="G32" s="876"/>
      <c r="H32" s="876"/>
      <c r="I32" s="876"/>
      <c r="J32" s="876"/>
    </row>
    <row r="36" spans="6:6" ht="15.75">
      <c r="F36" s="386"/>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4"/>
  <sheetViews>
    <sheetView zoomScaleNormal="100" workbookViewId="0">
      <selection activeCell="B6" sqref="B6"/>
    </sheetView>
  </sheetViews>
  <sheetFormatPr defaultRowHeight="15"/>
  <cols>
    <col min="1" max="1" width="9.77734375" bestFit="1" customWidth="1"/>
    <col min="2" max="2" width="10.88671875" customWidth="1"/>
    <col min="3" max="3" width="12" customWidth="1"/>
    <col min="4" max="4" width="12.44140625" bestFit="1" customWidth="1"/>
    <col min="5" max="5" width="13.6640625" customWidth="1"/>
  </cols>
  <sheetData>
    <row r="1" spans="1:8" ht="15.75">
      <c r="A1" s="11" t="s">
        <v>555</v>
      </c>
    </row>
    <row r="2" spans="1:8" ht="15.75">
      <c r="A2" s="11"/>
    </row>
    <row r="3" spans="1:8">
      <c r="A3" s="246">
        <v>2025</v>
      </c>
      <c r="E3" s="246"/>
    </row>
    <row r="4" spans="1:8">
      <c r="A4" s="85"/>
      <c r="B4" s="85"/>
      <c r="C4" s="85"/>
      <c r="D4" s="85"/>
      <c r="E4" s="85"/>
      <c r="F4" s="85"/>
      <c r="G4" s="85"/>
      <c r="H4" s="85"/>
    </row>
    <row r="5" spans="1:8">
      <c r="A5" s="105"/>
      <c r="B5" s="201" t="s">
        <v>120</v>
      </c>
      <c r="C5" s="103"/>
      <c r="D5" s="103"/>
      <c r="E5" s="201"/>
      <c r="F5" s="85"/>
      <c r="G5" s="85"/>
      <c r="H5" s="85"/>
    </row>
    <row r="6" spans="1:8">
      <c r="A6" s="149" t="s">
        <v>93</v>
      </c>
      <c r="B6" s="241">
        <f>'Socvård+barnomsorg data'!I43</f>
        <v>83422.409279999993</v>
      </c>
      <c r="C6" s="93"/>
      <c r="D6" s="93"/>
      <c r="E6" s="241"/>
      <c r="F6" s="85"/>
      <c r="G6" s="85"/>
      <c r="H6" s="85"/>
    </row>
    <row r="7" spans="1:8">
      <c r="A7" s="149" t="s">
        <v>94</v>
      </c>
      <c r="B7" s="241">
        <f>'Socvård+barnomsorg data'!I44</f>
        <v>139521.70022</v>
      </c>
      <c r="C7" s="93"/>
      <c r="D7" s="93"/>
      <c r="E7" s="241"/>
      <c r="F7" s="85"/>
      <c r="G7" s="85"/>
      <c r="H7" s="85"/>
    </row>
    <row r="8" spans="1:8">
      <c r="A8" s="149" t="s">
        <v>95</v>
      </c>
      <c r="B8" s="241">
        <f>'Socvård+barnomsorg data'!I45</f>
        <v>430388.97355999995</v>
      </c>
      <c r="C8" s="93"/>
      <c r="D8" s="93"/>
      <c r="E8" s="241"/>
      <c r="F8" s="85"/>
      <c r="G8" s="85"/>
      <c r="H8" s="85"/>
    </row>
    <row r="9" spans="1:8">
      <c r="A9" s="149" t="s">
        <v>96</v>
      </c>
      <c r="B9" s="241">
        <f>'Socvård+barnomsorg data'!I46</f>
        <v>139550.19147999998</v>
      </c>
      <c r="C9" s="93"/>
      <c r="D9" s="93"/>
      <c r="E9" s="241"/>
      <c r="F9" s="85"/>
      <c r="G9" s="85"/>
      <c r="H9" s="85"/>
    </row>
    <row r="10" spans="1:8">
      <c r="A10" s="149" t="s">
        <v>97</v>
      </c>
      <c r="B10" s="241">
        <f>'Socvård+barnomsorg data'!I47</f>
        <v>80402.335720000003</v>
      </c>
      <c r="C10" s="93"/>
      <c r="D10" s="93"/>
      <c r="E10" s="241"/>
      <c r="F10" s="85"/>
      <c r="G10" s="85"/>
      <c r="H10" s="85"/>
    </row>
    <row r="11" spans="1:8">
      <c r="A11" s="149" t="s">
        <v>98</v>
      </c>
      <c r="B11" s="241">
        <f>'Socvård+barnomsorg data'!I48</f>
        <v>286137.72418000002</v>
      </c>
      <c r="C11" s="93"/>
      <c r="D11" s="93"/>
      <c r="E11" s="241"/>
      <c r="F11" s="85"/>
      <c r="G11" s="85"/>
      <c r="H11" s="85"/>
    </row>
    <row r="12" spans="1:8">
      <c r="A12" s="149" t="s">
        <v>99</v>
      </c>
      <c r="B12" s="241">
        <f>'Socvård+barnomsorg data'!I49</f>
        <v>1224953.2324399999</v>
      </c>
      <c r="C12" s="93"/>
      <c r="D12" s="93"/>
      <c r="E12" s="241"/>
      <c r="F12" s="85"/>
      <c r="G12" s="85"/>
      <c r="H12" s="85"/>
    </row>
    <row r="13" spans="1:8">
      <c r="A13" s="149" t="s">
        <v>100</v>
      </c>
      <c r="B13" s="241">
        <f>'Socvård+barnomsorg data'!I50</f>
        <v>67780.707539999989</v>
      </c>
      <c r="C13" s="93"/>
      <c r="D13" s="93"/>
      <c r="E13" s="241"/>
      <c r="F13" s="85"/>
      <c r="G13" s="85"/>
      <c r="H13" s="85"/>
    </row>
    <row r="14" spans="1:8">
      <c r="A14" s="149" t="s">
        <v>101</v>
      </c>
      <c r="B14" s="241">
        <f>'Socvård+barnomsorg data'!I51</f>
        <v>46925.105219999998</v>
      </c>
      <c r="C14" s="93"/>
      <c r="D14" s="93"/>
      <c r="E14" s="241"/>
      <c r="F14" s="85"/>
      <c r="G14" s="85"/>
      <c r="H14" s="85"/>
    </row>
    <row r="15" spans="1:8">
      <c r="A15" s="149" t="s">
        <v>102</v>
      </c>
      <c r="B15" s="241">
        <f>'Socvård+barnomsorg data'!I52</f>
        <v>454036.71936000005</v>
      </c>
      <c r="C15" s="93"/>
      <c r="D15" s="93"/>
      <c r="E15" s="241"/>
      <c r="F15" s="85"/>
      <c r="G15" s="85"/>
      <c r="H15" s="85"/>
    </row>
    <row r="16" spans="1:8">
      <c r="A16" s="149" t="s">
        <v>103</v>
      </c>
      <c r="B16" s="241">
        <f>'Socvård+barnomsorg data'!I53</f>
        <v>47295.491600000001</v>
      </c>
      <c r="C16" s="93"/>
      <c r="D16" s="332"/>
      <c r="E16" s="241"/>
      <c r="F16" s="85"/>
      <c r="G16" s="85"/>
      <c r="H16" s="85"/>
    </row>
    <row r="17" spans="1:8">
      <c r="A17" s="149" t="s">
        <v>104</v>
      </c>
      <c r="B17" s="241">
        <f>'Socvård+barnomsorg data'!I54</f>
        <v>271949.07670000003</v>
      </c>
      <c r="C17" s="93"/>
      <c r="D17" s="93"/>
      <c r="E17" s="241"/>
      <c r="F17" s="85"/>
      <c r="G17" s="85"/>
      <c r="H17" s="85"/>
    </row>
    <row r="18" spans="1:8">
      <c r="A18" s="149" t="s">
        <v>105</v>
      </c>
      <c r="B18" s="241">
        <f>'Socvård+barnomsorg data'!I55</f>
        <v>36497.304059999995</v>
      </c>
      <c r="C18" s="93"/>
      <c r="D18" s="93"/>
      <c r="E18" s="241"/>
      <c r="F18" s="85"/>
      <c r="G18" s="85"/>
      <c r="H18" s="85"/>
    </row>
    <row r="19" spans="1:8">
      <c r="A19" s="149" t="s">
        <v>106</v>
      </c>
      <c r="B19" s="241">
        <f>'Socvård+barnomsorg data'!I56</f>
        <v>132427.37648000001</v>
      </c>
      <c r="C19" s="93"/>
      <c r="D19" s="93"/>
      <c r="E19" s="241"/>
      <c r="F19" s="85"/>
      <c r="G19" s="85"/>
      <c r="H19" s="85"/>
    </row>
    <row r="20" spans="1:8">
      <c r="A20" s="149" t="s">
        <v>107</v>
      </c>
      <c r="B20" s="241">
        <f>'Socvård+barnomsorg data'!I57</f>
        <v>211576.09675999999</v>
      </c>
      <c r="C20" s="93"/>
      <c r="D20" s="93"/>
      <c r="E20" s="241"/>
      <c r="F20" s="85"/>
      <c r="G20" s="85"/>
      <c r="H20" s="85"/>
    </row>
    <row r="21" spans="1:8">
      <c r="A21" s="149" t="s">
        <v>108</v>
      </c>
      <c r="B21" s="243">
        <f>'Socvård+barnomsorg data'!I58</f>
        <v>1473254.5633400001</v>
      </c>
      <c r="C21" s="94"/>
      <c r="D21" s="94"/>
      <c r="E21" s="243"/>
      <c r="F21" s="85"/>
      <c r="G21" s="85"/>
      <c r="H21" s="85"/>
    </row>
    <row r="22" spans="1:8">
      <c r="A22" s="208" t="s">
        <v>109</v>
      </c>
      <c r="B22" s="245">
        <f>'Socvård+barnomsorg data'!I59</f>
        <v>5126119.0079399999</v>
      </c>
      <c r="C22" s="97"/>
      <c r="D22" s="93"/>
      <c r="E22" s="245"/>
      <c r="F22" s="85"/>
      <c r="G22" s="85"/>
      <c r="H22" s="85"/>
    </row>
    <row r="23" spans="1:8">
      <c r="A23" s="85"/>
      <c r="B23" s="85"/>
      <c r="C23" s="85"/>
      <c r="D23" s="85"/>
      <c r="E23" s="85"/>
      <c r="F23" s="85"/>
      <c r="G23" s="85"/>
      <c r="H23" s="85"/>
    </row>
    <row r="24" spans="1:8">
      <c r="A24" s="85"/>
      <c r="B24" s="85"/>
      <c r="C24" s="85"/>
      <c r="D24" s="85"/>
      <c r="E24" s="85"/>
      <c r="F24" s="85"/>
      <c r="G24" s="85"/>
      <c r="H24" s="85"/>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zoomScaleNormal="100" workbookViewId="0">
      <selection activeCell="A3" sqref="A3"/>
    </sheetView>
  </sheetViews>
  <sheetFormatPr defaultRowHeight="15"/>
  <cols>
    <col min="1" max="1" width="9.77734375" bestFit="1" customWidth="1"/>
    <col min="2" max="2" width="19.6640625" customWidth="1"/>
    <col min="3" max="3" width="12" customWidth="1"/>
    <col min="4" max="4" width="12.44140625" bestFit="1" customWidth="1"/>
    <col min="5" max="5" width="13.6640625" customWidth="1"/>
  </cols>
  <sheetData>
    <row r="1" spans="1:8" ht="15.75">
      <c r="A1" s="11" t="s">
        <v>556</v>
      </c>
    </row>
    <row r="2" spans="1:8" ht="15.75">
      <c r="A2" s="11"/>
    </row>
    <row r="3" spans="1:8">
      <c r="A3" s="246">
        <v>2025</v>
      </c>
      <c r="E3" s="246"/>
    </row>
    <row r="4" spans="1:8">
      <c r="A4" s="85"/>
      <c r="B4" s="85"/>
      <c r="C4" s="85"/>
      <c r="D4" s="85"/>
      <c r="E4" s="85"/>
      <c r="F4" s="85"/>
      <c r="G4" s="85"/>
      <c r="H4" s="85"/>
    </row>
    <row r="5" spans="1:8">
      <c r="A5" s="105"/>
      <c r="B5" s="103" t="s">
        <v>469</v>
      </c>
      <c r="C5" s="103" t="s">
        <v>413</v>
      </c>
      <c r="D5" s="103" t="s">
        <v>557</v>
      </c>
      <c r="E5" s="201" t="s">
        <v>558</v>
      </c>
      <c r="F5" s="85"/>
      <c r="G5" s="104"/>
      <c r="H5" s="85"/>
    </row>
    <row r="6" spans="1:8">
      <c r="A6" s="149" t="s">
        <v>93</v>
      </c>
      <c r="B6" s="93">
        <f>'Socvård+barnomsorg data'!G43</f>
        <v>255007.29</v>
      </c>
      <c r="C6" s="93">
        <f>'Soctjänst data'!D34</f>
        <v>62810.79</v>
      </c>
      <c r="D6" s="93">
        <f t="shared" ref="D6:D21" si="0">B6+C6</f>
        <v>317818.08</v>
      </c>
      <c r="E6" s="241">
        <f>IF(D6&gt;0,D6,0)</f>
        <v>317818.08</v>
      </c>
      <c r="F6" s="85"/>
      <c r="G6" s="93"/>
      <c r="H6" s="85"/>
    </row>
    <row r="7" spans="1:8">
      <c r="A7" s="149" t="s">
        <v>94</v>
      </c>
      <c r="B7" s="93">
        <f>'Socvård+barnomsorg data'!G44</f>
        <v>192405.95</v>
      </c>
      <c r="C7" s="93">
        <f>'Soctjänst data'!D35</f>
        <v>135705.88</v>
      </c>
      <c r="D7" s="93">
        <f t="shared" si="0"/>
        <v>328111.83</v>
      </c>
      <c r="E7" s="241">
        <f t="shared" ref="E7:E21" si="1">IF(D7&gt;0,D7,0)</f>
        <v>328111.83</v>
      </c>
      <c r="F7" s="85"/>
      <c r="G7" s="93"/>
      <c r="H7" s="85"/>
    </row>
    <row r="8" spans="1:8">
      <c r="A8" s="149" t="s">
        <v>95</v>
      </c>
      <c r="B8" s="93">
        <f>'Socvård+barnomsorg data'!G45</f>
        <v>426035.72</v>
      </c>
      <c r="C8" s="93">
        <f>'Soctjänst data'!D36</f>
        <v>376000.36</v>
      </c>
      <c r="D8" s="93">
        <f t="shared" si="0"/>
        <v>802036.08</v>
      </c>
      <c r="E8" s="241">
        <f t="shared" si="1"/>
        <v>802036.08</v>
      </c>
      <c r="F8" s="85"/>
      <c r="G8" s="93"/>
      <c r="H8" s="85"/>
    </row>
    <row r="9" spans="1:8">
      <c r="A9" s="149" t="s">
        <v>96</v>
      </c>
      <c r="B9" s="93">
        <f>'Socvård+barnomsorg data'!G46</f>
        <v>280173.53000000003</v>
      </c>
      <c r="C9" s="93">
        <f>'Soctjänst data'!D37</f>
        <v>73327.27</v>
      </c>
      <c r="D9" s="93">
        <f t="shared" si="0"/>
        <v>353500.80000000005</v>
      </c>
      <c r="E9" s="241">
        <f t="shared" si="1"/>
        <v>353500.80000000005</v>
      </c>
      <c r="F9" s="85"/>
      <c r="G9" s="93"/>
      <c r="H9" s="85"/>
    </row>
    <row r="10" spans="1:8">
      <c r="A10" s="149" t="s">
        <v>97</v>
      </c>
      <c r="B10" s="93">
        <f>'Socvård+barnomsorg data'!G47</f>
        <v>107053.55</v>
      </c>
      <c r="C10" s="93">
        <f>'Soctjänst data'!D38</f>
        <v>73327.27</v>
      </c>
      <c r="D10" s="93">
        <f t="shared" si="0"/>
        <v>180380.82</v>
      </c>
      <c r="E10" s="241">
        <f t="shared" si="1"/>
        <v>180380.82</v>
      </c>
      <c r="F10" s="85"/>
      <c r="G10" s="93"/>
      <c r="H10" s="85"/>
    </row>
    <row r="11" spans="1:8">
      <c r="A11" s="149" t="s">
        <v>98</v>
      </c>
      <c r="B11" s="93">
        <f>'Socvård+barnomsorg data'!G48</f>
        <v>288459.45</v>
      </c>
      <c r="C11" s="93">
        <f>'Soctjänst data'!D39</f>
        <v>237125.13</v>
      </c>
      <c r="D11" s="93">
        <f t="shared" si="0"/>
        <v>525584.58000000007</v>
      </c>
      <c r="E11" s="241">
        <f t="shared" si="1"/>
        <v>525584.58000000007</v>
      </c>
      <c r="F11" s="85"/>
      <c r="G11" s="93"/>
      <c r="H11" s="85"/>
    </row>
    <row r="12" spans="1:8">
      <c r="A12" s="149" t="s">
        <v>99</v>
      </c>
      <c r="B12" s="93">
        <f>'Socvård+barnomsorg data'!G49</f>
        <v>571166.68999999994</v>
      </c>
      <c r="C12" s="93">
        <f>'Soctjänst data'!D40</f>
        <v>820718.02</v>
      </c>
      <c r="D12" s="93">
        <f t="shared" si="0"/>
        <v>1391884.71</v>
      </c>
      <c r="E12" s="241">
        <f t="shared" si="1"/>
        <v>1391884.71</v>
      </c>
      <c r="F12" s="85"/>
      <c r="G12" s="93"/>
      <c r="H12" s="85"/>
    </row>
    <row r="13" spans="1:8">
      <c r="A13" s="149" t="s">
        <v>100</v>
      </c>
      <c r="B13" s="93">
        <f>'Socvård+barnomsorg data'!G50</f>
        <v>288143.12</v>
      </c>
      <c r="C13" s="93">
        <f>'Soctjänst data'!D41</f>
        <v>41777.82</v>
      </c>
      <c r="D13" s="93">
        <f t="shared" si="0"/>
        <v>329920.94</v>
      </c>
      <c r="E13" s="241">
        <f t="shared" si="1"/>
        <v>329920.94</v>
      </c>
      <c r="F13" s="85"/>
      <c r="G13" s="93"/>
      <c r="H13" s="85"/>
    </row>
    <row r="14" spans="1:8">
      <c r="A14" s="149" t="s">
        <v>101</v>
      </c>
      <c r="B14" s="93">
        <f>'Socvård+barnomsorg data'!G51</f>
        <v>184349.14</v>
      </c>
      <c r="C14" s="93">
        <f>'Soctjänst data'!D42</f>
        <v>32413.82</v>
      </c>
      <c r="D14" s="93">
        <f t="shared" si="0"/>
        <v>216762.96000000002</v>
      </c>
      <c r="E14" s="241">
        <f t="shared" si="1"/>
        <v>216762.96000000002</v>
      </c>
      <c r="F14" s="85"/>
      <c r="G14" s="93"/>
      <c r="H14" s="85"/>
    </row>
    <row r="15" spans="1:8">
      <c r="A15" s="149" t="s">
        <v>102</v>
      </c>
      <c r="B15" s="93">
        <f>'Socvård+barnomsorg data'!G52</f>
        <v>252451.27</v>
      </c>
      <c r="C15" s="93">
        <f>'Soctjänst data'!D43</f>
        <v>306418.68</v>
      </c>
      <c r="D15" s="93">
        <f t="shared" si="0"/>
        <v>558869.94999999995</v>
      </c>
      <c r="E15" s="241">
        <f t="shared" si="1"/>
        <v>558869.94999999995</v>
      </c>
      <c r="F15" s="85"/>
      <c r="G15" s="93"/>
      <c r="H15" s="85"/>
    </row>
    <row r="16" spans="1:8">
      <c r="A16" s="149" t="s">
        <v>103</v>
      </c>
      <c r="B16" s="93">
        <f>'Socvård+barnomsorg data'!G53</f>
        <v>85489.47</v>
      </c>
      <c r="C16" s="93">
        <f>'Soctjänst data'!D44</f>
        <v>52726.49</v>
      </c>
      <c r="D16" s="23">
        <f t="shared" si="0"/>
        <v>138215.96</v>
      </c>
      <c r="E16" s="241">
        <f t="shared" si="1"/>
        <v>138215.96</v>
      </c>
      <c r="F16" s="85"/>
      <c r="G16" s="93"/>
      <c r="H16" s="85"/>
    </row>
    <row r="17" spans="1:8">
      <c r="A17" s="149" t="s">
        <v>104</v>
      </c>
      <c r="B17" s="93">
        <f>'Socvård+barnomsorg data'!G54</f>
        <v>380215.39</v>
      </c>
      <c r="C17" s="93">
        <f>'Soctjänst data'!D45</f>
        <v>258014.04</v>
      </c>
      <c r="D17" s="93">
        <f t="shared" si="0"/>
        <v>638229.43000000005</v>
      </c>
      <c r="E17" s="241">
        <f t="shared" si="1"/>
        <v>638229.43000000005</v>
      </c>
      <c r="F17" s="85"/>
      <c r="G17" s="93"/>
      <c r="H17" s="85"/>
    </row>
    <row r="18" spans="1:8">
      <c r="A18" s="149" t="s">
        <v>105</v>
      </c>
      <c r="B18" s="93">
        <f>'Socvård+barnomsorg data'!G55</f>
        <v>61042.12</v>
      </c>
      <c r="C18" s="93">
        <f>'Soctjänst data'!D46</f>
        <v>16567.07</v>
      </c>
      <c r="D18" s="93">
        <f t="shared" si="0"/>
        <v>77609.19</v>
      </c>
      <c r="E18" s="241">
        <f t="shared" si="1"/>
        <v>77609.19</v>
      </c>
      <c r="F18" s="85"/>
      <c r="G18" s="93"/>
      <c r="H18" s="85"/>
    </row>
    <row r="19" spans="1:8">
      <c r="A19" s="149" t="s">
        <v>106</v>
      </c>
      <c r="B19" s="93">
        <f>'Socvård+barnomsorg data'!G56</f>
        <v>188357.5</v>
      </c>
      <c r="C19" s="93">
        <f>'Soctjänst data'!D47</f>
        <v>143341.13</v>
      </c>
      <c r="D19" s="93">
        <f t="shared" si="0"/>
        <v>331698.63</v>
      </c>
      <c r="E19" s="241">
        <f t="shared" si="1"/>
        <v>331698.63</v>
      </c>
      <c r="F19" s="85"/>
      <c r="G19" s="93"/>
      <c r="H19" s="85"/>
    </row>
    <row r="20" spans="1:8">
      <c r="A20" s="149" t="s">
        <v>107</v>
      </c>
      <c r="B20" s="93">
        <f>'Socvård+barnomsorg data'!G57</f>
        <v>239096.27</v>
      </c>
      <c r="C20" s="93">
        <f>'Soctjänst data'!D48</f>
        <v>67852.94</v>
      </c>
      <c r="D20" s="93">
        <f t="shared" si="0"/>
        <v>306949.20999999996</v>
      </c>
      <c r="E20" s="241">
        <f t="shared" si="1"/>
        <v>306949.20999999996</v>
      </c>
      <c r="F20" s="85"/>
      <c r="G20" s="93"/>
      <c r="H20" s="85"/>
    </row>
    <row r="21" spans="1:8">
      <c r="A21" s="149" t="s">
        <v>108</v>
      </c>
      <c r="B21" s="94">
        <f>'Socvård+barnomsorg data'!G58</f>
        <v>2317623.41</v>
      </c>
      <c r="C21" s="94">
        <f>'Soctjänst data'!D49</f>
        <v>1701653.73</v>
      </c>
      <c r="D21" s="94">
        <f t="shared" si="0"/>
        <v>4019277.14</v>
      </c>
      <c r="E21" s="243">
        <f t="shared" si="1"/>
        <v>4019277.14</v>
      </c>
      <c r="F21" s="85"/>
      <c r="G21" s="93"/>
      <c r="H21" s="85"/>
    </row>
    <row r="22" spans="1:8">
      <c r="A22" s="208" t="s">
        <v>109</v>
      </c>
      <c r="B22" s="97">
        <f>'Socvård+barnomsorg data'!G59</f>
        <v>6117069.870000001</v>
      </c>
      <c r="C22" s="97">
        <f>SUM(C6:C21)</f>
        <v>4399780.4400000004</v>
      </c>
      <c r="D22" s="93">
        <f>SUM(D6:D21)</f>
        <v>10516850.310000001</v>
      </c>
      <c r="E22" s="245">
        <f>SUM(E6:E21)</f>
        <v>10516850.310000001</v>
      </c>
      <c r="F22" s="85"/>
      <c r="G22" s="97"/>
      <c r="H22" s="85"/>
    </row>
    <row r="23" spans="1:8">
      <c r="A23" s="85"/>
      <c r="B23" s="85"/>
      <c r="C23" s="85"/>
      <c r="D23" s="85"/>
      <c r="E23" s="85"/>
      <c r="F23" s="85"/>
      <c r="G23" s="85"/>
      <c r="H23" s="85"/>
    </row>
    <row r="24" spans="1:8" ht="15.75">
      <c r="A24" s="11"/>
      <c r="F24" s="85"/>
      <c r="G24" s="85"/>
      <c r="H24" s="85"/>
    </row>
    <row r="25" spans="1:8">
      <c r="A25" s="246">
        <v>2024</v>
      </c>
      <c r="E25" s="246"/>
    </row>
    <row r="26" spans="1:8">
      <c r="A26" s="85"/>
      <c r="B26" s="85"/>
      <c r="C26" s="85"/>
      <c r="D26" s="85"/>
      <c r="E26" s="85"/>
    </row>
    <row r="27" spans="1:8">
      <c r="A27" s="105"/>
      <c r="B27" s="103" t="s">
        <v>469</v>
      </c>
      <c r="C27" s="103" t="s">
        <v>413</v>
      </c>
      <c r="D27" s="103" t="s">
        <v>557</v>
      </c>
      <c r="E27" s="201" t="s">
        <v>558</v>
      </c>
    </row>
    <row r="28" spans="1:8">
      <c r="A28" s="149" t="s">
        <v>93</v>
      </c>
      <c r="B28" s="736">
        <v>244711</v>
      </c>
      <c r="C28" s="736">
        <v>63445</v>
      </c>
      <c r="D28" s="736">
        <v>308155</v>
      </c>
      <c r="E28" s="738">
        <v>308155</v>
      </c>
    </row>
    <row r="29" spans="1:8">
      <c r="A29" s="149" t="s">
        <v>94</v>
      </c>
      <c r="B29" s="736">
        <v>180159</v>
      </c>
      <c r="C29" s="736">
        <v>132388</v>
      </c>
      <c r="D29" s="736">
        <v>312547</v>
      </c>
      <c r="E29" s="738">
        <v>312547</v>
      </c>
    </row>
    <row r="30" spans="1:8">
      <c r="A30" s="149" t="s">
        <v>95</v>
      </c>
      <c r="B30" s="736">
        <v>360122</v>
      </c>
      <c r="C30" s="736">
        <v>364877</v>
      </c>
      <c r="D30" s="736">
        <v>724998</v>
      </c>
      <c r="E30" s="738">
        <v>724998</v>
      </c>
    </row>
    <row r="31" spans="1:8">
      <c r="A31" s="149" t="s">
        <v>96</v>
      </c>
      <c r="B31" s="736">
        <v>265815</v>
      </c>
      <c r="C31" s="736">
        <v>71058</v>
      </c>
      <c r="D31" s="736">
        <v>336873</v>
      </c>
      <c r="E31" s="738">
        <v>336873</v>
      </c>
    </row>
    <row r="32" spans="1:8">
      <c r="A32" s="149" t="s">
        <v>97</v>
      </c>
      <c r="B32" s="736">
        <v>96133</v>
      </c>
      <c r="C32" s="736">
        <v>71481</v>
      </c>
      <c r="D32" s="736">
        <v>167614</v>
      </c>
      <c r="E32" s="738">
        <v>167614</v>
      </c>
    </row>
    <row r="33" spans="1:5">
      <c r="A33" s="149" t="s">
        <v>98</v>
      </c>
      <c r="B33" s="736">
        <v>246273</v>
      </c>
      <c r="C33" s="736">
        <v>229528</v>
      </c>
      <c r="D33" s="736">
        <v>475801</v>
      </c>
      <c r="E33" s="738">
        <v>475801</v>
      </c>
    </row>
    <row r="34" spans="1:5">
      <c r="A34" s="149" t="s">
        <v>99</v>
      </c>
      <c r="B34" s="736">
        <v>495851</v>
      </c>
      <c r="C34" s="736">
        <v>790942</v>
      </c>
      <c r="D34" s="736">
        <v>1286793</v>
      </c>
      <c r="E34" s="738">
        <v>1286793</v>
      </c>
    </row>
    <row r="35" spans="1:5">
      <c r="A35" s="149" t="s">
        <v>100</v>
      </c>
      <c r="B35" s="736">
        <v>257950</v>
      </c>
      <c r="C35" s="736">
        <v>43142</v>
      </c>
      <c r="D35" s="736">
        <v>301092</v>
      </c>
      <c r="E35" s="738">
        <v>301092</v>
      </c>
    </row>
    <row r="36" spans="1:5">
      <c r="A36" s="149" t="s">
        <v>101</v>
      </c>
      <c r="B36" s="736">
        <v>166544</v>
      </c>
      <c r="C36" s="736">
        <v>31440</v>
      </c>
      <c r="D36" s="736">
        <v>197985</v>
      </c>
      <c r="E36" s="738">
        <v>197985</v>
      </c>
    </row>
    <row r="37" spans="1:5">
      <c r="A37" s="149" t="s">
        <v>102</v>
      </c>
      <c r="B37" s="736">
        <v>234377</v>
      </c>
      <c r="C37" s="736">
        <v>300445</v>
      </c>
      <c r="D37" s="736">
        <v>534822</v>
      </c>
      <c r="E37" s="738">
        <v>534822</v>
      </c>
    </row>
    <row r="38" spans="1:5">
      <c r="A38" s="149" t="s">
        <v>103</v>
      </c>
      <c r="B38" s="736">
        <v>71747</v>
      </c>
      <c r="C38" s="736">
        <v>50756</v>
      </c>
      <c r="D38" s="734">
        <v>122503</v>
      </c>
      <c r="E38" s="738">
        <v>122503</v>
      </c>
    </row>
    <row r="39" spans="1:5">
      <c r="A39" s="149" t="s">
        <v>104</v>
      </c>
      <c r="B39" s="736">
        <v>350718</v>
      </c>
      <c r="C39" s="736">
        <v>252791</v>
      </c>
      <c r="D39" s="736">
        <v>603509</v>
      </c>
      <c r="E39" s="738">
        <v>603509</v>
      </c>
    </row>
    <row r="40" spans="1:5">
      <c r="A40" s="149" t="s">
        <v>105</v>
      </c>
      <c r="B40" s="736">
        <v>60856</v>
      </c>
      <c r="C40" s="736">
        <v>15650</v>
      </c>
      <c r="D40" s="736">
        <v>76505</v>
      </c>
      <c r="E40" s="738">
        <v>76505</v>
      </c>
    </row>
    <row r="41" spans="1:5">
      <c r="A41" s="149" t="s">
        <v>106</v>
      </c>
      <c r="B41" s="736">
        <v>168319</v>
      </c>
      <c r="C41" s="736">
        <v>141129</v>
      </c>
      <c r="D41" s="736">
        <v>309448</v>
      </c>
      <c r="E41" s="738">
        <v>309448</v>
      </c>
    </row>
    <row r="42" spans="1:5">
      <c r="A42" s="149" t="s">
        <v>107</v>
      </c>
      <c r="B42" s="736">
        <v>226404</v>
      </c>
      <c r="C42" s="736">
        <v>63586</v>
      </c>
      <c r="D42" s="736">
        <v>289989</v>
      </c>
      <c r="E42" s="738">
        <v>289989</v>
      </c>
    </row>
    <row r="43" spans="1:5">
      <c r="A43" s="149" t="s">
        <v>108</v>
      </c>
      <c r="B43" s="735">
        <v>2052824</v>
      </c>
      <c r="C43" s="735">
        <v>1657595</v>
      </c>
      <c r="D43" s="735">
        <v>3710418</v>
      </c>
      <c r="E43" s="739">
        <v>3710418</v>
      </c>
    </row>
    <row r="44" spans="1:5">
      <c r="A44" s="208" t="s">
        <v>109</v>
      </c>
      <c r="B44" s="98">
        <v>5478802</v>
      </c>
      <c r="C44" s="98">
        <v>4280251</v>
      </c>
      <c r="D44" s="736">
        <v>9759053</v>
      </c>
      <c r="E44" s="741">
        <v>9759053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34"/>
  <sheetViews>
    <sheetView topLeftCell="A28" zoomScaleNormal="100" zoomScalePageLayoutView="80" workbookViewId="0">
      <selection activeCell="H25" sqref="H25"/>
    </sheetView>
  </sheetViews>
  <sheetFormatPr defaultRowHeight="15"/>
  <cols>
    <col min="1" max="1" width="15.109375" customWidth="1"/>
    <col min="2" max="2" width="10.5546875" bestFit="1" customWidth="1"/>
    <col min="3" max="5" width="9.77734375" bestFit="1" customWidth="1"/>
    <col min="6" max="6" width="10.5546875" bestFit="1" customWidth="1"/>
    <col min="7" max="7" width="10.44140625" bestFit="1" customWidth="1"/>
    <col min="8" max="8" width="9.88671875" customWidth="1"/>
    <col min="9" max="9" width="10.77734375" customWidth="1"/>
    <col min="10" max="10" width="11.33203125" bestFit="1" customWidth="1"/>
    <col min="11" max="11" width="8.88671875" bestFit="1" customWidth="1"/>
    <col min="14" max="14" width="9.88671875" customWidth="1"/>
  </cols>
  <sheetData>
    <row r="1" spans="1:17" ht="15.75">
      <c r="A1" s="11" t="s">
        <v>559</v>
      </c>
    </row>
    <row r="2" spans="1:17" ht="15.75">
      <c r="A2" s="3" t="s">
        <v>560</v>
      </c>
    </row>
    <row r="3" spans="1:17">
      <c r="B3" s="246"/>
    </row>
    <row r="4" spans="1:17">
      <c r="A4" s="53" t="s">
        <v>561</v>
      </c>
      <c r="B4" s="85"/>
      <c r="C4" s="85"/>
      <c r="D4" s="85"/>
      <c r="E4" s="85"/>
      <c r="F4" s="85"/>
      <c r="G4" s="85"/>
      <c r="H4" s="85"/>
      <c r="N4" s="181"/>
      <c r="O4" s="182"/>
      <c r="P4" s="182"/>
      <c r="Q4" s="182"/>
    </row>
    <row r="5" spans="1:17">
      <c r="A5" s="85"/>
      <c r="B5" s="85"/>
      <c r="C5" s="85"/>
      <c r="D5" s="85"/>
      <c r="E5" s="85"/>
      <c r="F5" s="85"/>
      <c r="G5" s="85"/>
      <c r="H5" s="85"/>
      <c r="N5" s="181"/>
      <c r="O5" s="181"/>
      <c r="P5" s="181"/>
      <c r="Q5" s="181"/>
    </row>
    <row r="6" spans="1:17">
      <c r="A6" s="85"/>
      <c r="B6" s="492" t="s">
        <v>562</v>
      </c>
      <c r="C6" s="85"/>
      <c r="D6" s="85"/>
      <c r="E6" s="85"/>
      <c r="F6" s="85"/>
      <c r="G6" s="85"/>
      <c r="H6" s="85"/>
      <c r="N6" s="181"/>
      <c r="O6" s="183"/>
      <c r="P6" s="183"/>
      <c r="Q6" s="183"/>
    </row>
    <row r="7" spans="1:17">
      <c r="A7" s="181">
        <v>2025</v>
      </c>
      <c r="B7" s="85" t="s">
        <v>120</v>
      </c>
      <c r="C7" s="85"/>
      <c r="D7" s="182" t="s">
        <v>563</v>
      </c>
      <c r="E7" s="182"/>
      <c r="F7" s="182"/>
      <c r="G7" s="85"/>
      <c r="N7" s="181"/>
      <c r="O7" s="182"/>
      <c r="P7" s="182"/>
      <c r="Q7" s="182"/>
    </row>
    <row r="8" spans="1:17">
      <c r="A8" s="100" t="s">
        <v>564</v>
      </c>
      <c r="B8" s="100" t="s">
        <v>377</v>
      </c>
      <c r="C8" s="319"/>
      <c r="D8" s="100" t="s">
        <v>378</v>
      </c>
      <c r="E8" s="100" t="s">
        <v>379</v>
      </c>
      <c r="F8" s="100" t="s">
        <v>380</v>
      </c>
      <c r="G8" s="85"/>
      <c r="N8" s="181"/>
      <c r="O8" s="181"/>
      <c r="P8" s="181"/>
      <c r="Q8" s="181"/>
    </row>
    <row r="9" spans="1:17">
      <c r="A9" s="181" t="s">
        <v>28</v>
      </c>
      <c r="B9" s="183">
        <f>Basbelopp!AE125</f>
        <v>14245.63</v>
      </c>
      <c r="C9" s="320"/>
      <c r="D9" s="183">
        <f>Basbelopp!AG125</f>
        <v>1331.26</v>
      </c>
      <c r="E9" s="183">
        <f>Basbelopp!AH125</f>
        <v>5693.74</v>
      </c>
      <c r="F9" s="183">
        <f>Basbelopp!AI125</f>
        <v>24253.13</v>
      </c>
      <c r="G9" s="85"/>
      <c r="N9" s="181"/>
      <c r="O9" s="183"/>
      <c r="P9" s="183"/>
      <c r="Q9" s="183"/>
    </row>
    <row r="10" spans="1:17">
      <c r="A10" s="85"/>
      <c r="B10" s="85"/>
      <c r="C10" s="85"/>
      <c r="D10" s="85"/>
      <c r="E10" s="85"/>
      <c r="F10" s="85"/>
      <c r="G10" s="85"/>
      <c r="H10" s="85"/>
      <c r="N10" s="181"/>
      <c r="O10" s="182"/>
      <c r="P10" s="182"/>
      <c r="Q10" s="182"/>
    </row>
    <row r="11" spans="1:17">
      <c r="A11" s="53" t="s">
        <v>547</v>
      </c>
      <c r="B11" s="85"/>
      <c r="C11" s="85"/>
      <c r="D11" s="85"/>
      <c r="E11" s="85"/>
      <c r="F11" s="85"/>
      <c r="G11" s="85"/>
      <c r="H11" s="85"/>
      <c r="N11" s="181"/>
      <c r="O11" s="181"/>
      <c r="P11" s="181"/>
      <c r="Q11" s="181"/>
    </row>
    <row r="12" spans="1:17">
      <c r="B12" s="85"/>
      <c r="C12" s="85"/>
      <c r="D12" s="85"/>
      <c r="E12" s="85"/>
      <c r="F12" s="85"/>
      <c r="G12" s="85"/>
      <c r="H12" s="85"/>
      <c r="N12" s="181"/>
      <c r="O12" s="183"/>
      <c r="P12" s="183"/>
      <c r="Q12" s="183"/>
    </row>
    <row r="13" spans="1:17">
      <c r="A13" s="85"/>
      <c r="B13" s="85"/>
      <c r="C13" s="85"/>
      <c r="D13" s="85"/>
      <c r="E13" s="492" t="s">
        <v>562</v>
      </c>
      <c r="F13" s="85"/>
      <c r="G13" s="85"/>
      <c r="H13" s="85"/>
    </row>
    <row r="14" spans="1:17">
      <c r="A14" s="103" t="s">
        <v>538</v>
      </c>
      <c r="B14" s="105"/>
      <c r="C14" s="321">
        <v>2025</v>
      </c>
      <c r="D14" s="85"/>
      <c r="E14" s="321" t="s">
        <v>565</v>
      </c>
      <c r="F14" s="184"/>
      <c r="G14" s="85"/>
    </row>
    <row r="15" spans="1:17">
      <c r="A15" s="85" t="s">
        <v>533</v>
      </c>
      <c r="B15" s="85"/>
      <c r="C15" s="185">
        <v>0.125</v>
      </c>
      <c r="D15" s="85"/>
      <c r="E15" s="185">
        <v>0.16600000000000001</v>
      </c>
      <c r="F15" s="85"/>
      <c r="G15" s="85"/>
    </row>
    <row r="16" spans="1:17">
      <c r="A16" s="186" t="s">
        <v>566</v>
      </c>
      <c r="B16" s="186"/>
      <c r="C16" s="187">
        <f>C15+15%</f>
        <v>0.27500000000000002</v>
      </c>
      <c r="D16" s="85"/>
      <c r="E16" s="187">
        <v>0.316</v>
      </c>
      <c r="F16" s="85"/>
      <c r="G16" s="85"/>
    </row>
    <row r="17" spans="1:19">
      <c r="A17" s="188" t="s">
        <v>567</v>
      </c>
      <c r="B17" s="188"/>
      <c r="C17" s="189">
        <f>C15+15%+5%</f>
        <v>0.32500000000000001</v>
      </c>
      <c r="D17" s="85"/>
      <c r="E17" s="189">
        <v>0.36599999999999999</v>
      </c>
      <c r="F17" s="85"/>
      <c r="G17" s="85"/>
    </row>
    <row r="18" spans="1:19">
      <c r="A18" s="85"/>
      <c r="B18" s="85"/>
      <c r="C18" s="85"/>
      <c r="D18" s="85"/>
      <c r="E18" s="85"/>
      <c r="F18" s="85"/>
      <c r="G18" s="85"/>
      <c r="H18" s="85"/>
    </row>
    <row r="19" spans="1:19">
      <c r="A19" s="85"/>
      <c r="B19" s="85"/>
      <c r="C19" s="85"/>
      <c r="D19" s="85"/>
      <c r="E19" s="85"/>
      <c r="F19" s="85"/>
      <c r="G19" s="85"/>
      <c r="H19" s="85"/>
    </row>
    <row r="20" spans="1:19">
      <c r="A20" s="104" t="s">
        <v>4</v>
      </c>
      <c r="B20" s="85"/>
      <c r="C20" s="85"/>
      <c r="D20" s="85"/>
      <c r="E20" s="85"/>
      <c r="F20" s="85"/>
      <c r="G20" s="85"/>
      <c r="H20" s="85"/>
      <c r="N20" s="104"/>
      <c r="O20" s="85"/>
      <c r="P20" s="85"/>
      <c r="Q20" s="85"/>
      <c r="R20" s="85"/>
      <c r="S20" s="85"/>
    </row>
    <row r="21" spans="1:19" ht="15.75" thickBot="1">
      <c r="A21" s="190" t="str">
        <f>Invånare!A26</f>
        <v>2024-01-01</v>
      </c>
      <c r="B21" s="191" t="s">
        <v>377</v>
      </c>
      <c r="C21" s="265" t="s">
        <v>381</v>
      </c>
      <c r="D21" s="191" t="s">
        <v>378</v>
      </c>
      <c r="E21" s="191" t="s">
        <v>379</v>
      </c>
      <c r="F21" s="191" t="s">
        <v>380</v>
      </c>
      <c r="G21" s="85"/>
      <c r="H21" s="85"/>
      <c r="L21" s="85" t="s">
        <v>545</v>
      </c>
      <c r="N21" s="757"/>
      <c r="O21" s="762"/>
      <c r="P21" s="763"/>
      <c r="Q21" s="762"/>
      <c r="R21" s="762"/>
      <c r="S21" s="762"/>
    </row>
    <row r="22" spans="1:19" ht="16.5" thickTop="1" thickBot="1">
      <c r="A22" s="192" t="s">
        <v>93</v>
      </c>
      <c r="B22" s="193">
        <f>Invånare!B27</f>
        <v>16</v>
      </c>
      <c r="C22" s="266">
        <f>Invånare!C27</f>
        <v>265</v>
      </c>
      <c r="D22" s="193">
        <f>Invånare!D27</f>
        <v>82</v>
      </c>
      <c r="E22" s="193">
        <f>Invånare!E27</f>
        <v>59</v>
      </c>
      <c r="F22" s="193">
        <f>Invånare!F27</f>
        <v>14</v>
      </c>
      <c r="H22" s="85"/>
      <c r="L22" s="101">
        <f>SUM(B22:F22)-Invånare!B6</f>
        <v>0</v>
      </c>
      <c r="N22" s="196"/>
      <c r="O22" s="23"/>
      <c r="P22" s="267"/>
      <c r="Q22" s="23"/>
      <c r="R22" s="23"/>
      <c r="S22" s="23"/>
    </row>
    <row r="23" spans="1:19" ht="16.5" thickTop="1" thickBot="1">
      <c r="A23" s="104" t="s">
        <v>94</v>
      </c>
      <c r="B23" s="23">
        <f>Invånare!B28</f>
        <v>59</v>
      </c>
      <c r="C23" s="267">
        <f>Invånare!C28</f>
        <v>603</v>
      </c>
      <c r="D23" s="23">
        <f>Invånare!D28</f>
        <v>153</v>
      </c>
      <c r="E23" s="23">
        <f>Invånare!E28</f>
        <v>94</v>
      </c>
      <c r="F23" s="23">
        <f>Invånare!F28</f>
        <v>33</v>
      </c>
      <c r="H23" s="85"/>
      <c r="L23" s="101">
        <f>SUM(B23:F23)-Invånare!B7</f>
        <v>0</v>
      </c>
      <c r="N23" s="104"/>
      <c r="O23" s="23"/>
      <c r="P23" s="267"/>
      <c r="Q23" s="23"/>
      <c r="R23" s="23"/>
      <c r="S23" s="23"/>
    </row>
    <row r="24" spans="1:19" ht="16.5" thickTop="1" thickBot="1">
      <c r="A24" s="104" t="s">
        <v>95</v>
      </c>
      <c r="B24" s="23">
        <f>Invånare!B29</f>
        <v>182</v>
      </c>
      <c r="C24" s="267">
        <f>Invånare!C29</f>
        <v>1826</v>
      </c>
      <c r="D24" s="23">
        <f>Invånare!D29</f>
        <v>315</v>
      </c>
      <c r="E24" s="23">
        <f>Invånare!E29</f>
        <v>214</v>
      </c>
      <c r="F24" s="23">
        <f>Invånare!F29</f>
        <v>73</v>
      </c>
      <c r="H24" s="85"/>
      <c r="L24" s="101">
        <f>SUM(B24:F24)-Invånare!B8</f>
        <v>0</v>
      </c>
      <c r="N24" s="104"/>
      <c r="O24" s="23"/>
      <c r="P24" s="267"/>
      <c r="Q24" s="23"/>
      <c r="R24" s="23"/>
      <c r="S24" s="23"/>
    </row>
    <row r="25" spans="1:19" ht="16.5" thickTop="1" thickBot="1">
      <c r="A25" s="194" t="s">
        <v>96</v>
      </c>
      <c r="B25" s="195">
        <f>Invånare!B30</f>
        <v>31</v>
      </c>
      <c r="C25" s="268">
        <f>Invånare!C30</f>
        <v>316</v>
      </c>
      <c r="D25" s="195">
        <f>Invånare!D30</f>
        <v>80</v>
      </c>
      <c r="E25" s="195">
        <f>Invånare!E30</f>
        <v>58</v>
      </c>
      <c r="F25" s="195">
        <f>Invånare!F30</f>
        <v>24</v>
      </c>
      <c r="H25" s="85"/>
      <c r="L25" s="101">
        <f>SUM(B25:F25)-Invånare!B9</f>
        <v>0</v>
      </c>
      <c r="N25" s="196"/>
      <c r="O25" s="23"/>
      <c r="P25" s="267"/>
      <c r="Q25" s="23"/>
      <c r="R25" s="23"/>
      <c r="S25" s="23"/>
    </row>
    <row r="26" spans="1:19" ht="16.5" thickTop="1" thickBot="1">
      <c r="A26" s="196" t="s">
        <v>97</v>
      </c>
      <c r="B26" s="23">
        <f>Invånare!B31</f>
        <v>34</v>
      </c>
      <c r="C26" s="267">
        <f>Invånare!C31</f>
        <v>344</v>
      </c>
      <c r="D26" s="23">
        <f>Invånare!D31</f>
        <v>64</v>
      </c>
      <c r="E26" s="23">
        <f>Invånare!E31</f>
        <v>46</v>
      </c>
      <c r="F26" s="23">
        <f>Invånare!F31</f>
        <v>21</v>
      </c>
      <c r="H26" s="85"/>
      <c r="L26" s="101">
        <f>SUM(B26:F26)-Invånare!B10</f>
        <v>0</v>
      </c>
      <c r="N26" s="196"/>
      <c r="O26" s="23"/>
      <c r="P26" s="267"/>
      <c r="Q26" s="23"/>
      <c r="R26" s="23"/>
      <c r="S26" s="23"/>
    </row>
    <row r="27" spans="1:19" ht="16.5" thickTop="1" thickBot="1">
      <c r="A27" s="196" t="s">
        <v>98</v>
      </c>
      <c r="B27" s="23">
        <f>Invånare!B32</f>
        <v>121</v>
      </c>
      <c r="C27" s="267">
        <f>Invånare!C32</f>
        <v>1144</v>
      </c>
      <c r="D27" s="23">
        <f>Invånare!D32</f>
        <v>181</v>
      </c>
      <c r="E27" s="23">
        <f>Invånare!E32</f>
        <v>150</v>
      </c>
      <c r="F27" s="23">
        <f>Invånare!F32</f>
        <v>50</v>
      </c>
      <c r="H27" s="85"/>
      <c r="L27" s="101">
        <f>SUM(B27:F27)-Invånare!B11</f>
        <v>0</v>
      </c>
      <c r="N27" s="196"/>
      <c r="O27" s="23"/>
      <c r="P27" s="267"/>
      <c r="Q27" s="23"/>
      <c r="R27" s="23"/>
      <c r="S27" s="23"/>
    </row>
    <row r="28" spans="1:19" ht="16.5" thickTop="1" thickBot="1">
      <c r="A28" s="196" t="s">
        <v>99</v>
      </c>
      <c r="B28" s="23">
        <f>Invånare!B33</f>
        <v>518</v>
      </c>
      <c r="C28" s="267">
        <f>Invånare!C33</f>
        <v>4258</v>
      </c>
      <c r="D28" s="23">
        <f>Invånare!D33</f>
        <v>512</v>
      </c>
      <c r="E28" s="23">
        <f>Invånare!E33</f>
        <v>325</v>
      </c>
      <c r="F28" s="23">
        <f>Invånare!F33</f>
        <v>84</v>
      </c>
      <c r="H28" s="85"/>
      <c r="L28" s="101">
        <f>SUM(B28:F28)-Invånare!B12</f>
        <v>0</v>
      </c>
      <c r="N28" s="196"/>
      <c r="O28" s="23"/>
      <c r="P28" s="267"/>
      <c r="Q28" s="23"/>
      <c r="R28" s="23"/>
      <c r="S28" s="23"/>
    </row>
    <row r="29" spans="1:19" ht="16.5" thickTop="1" thickBot="1">
      <c r="A29" s="192" t="s">
        <v>100</v>
      </c>
      <c r="B29" s="193">
        <f>Invånare!B34</f>
        <v>13</v>
      </c>
      <c r="C29" s="266">
        <f>Invånare!C34</f>
        <v>157</v>
      </c>
      <c r="D29" s="193">
        <f>Invånare!D34</f>
        <v>64</v>
      </c>
      <c r="E29" s="193">
        <f>Invånare!E34</f>
        <v>30</v>
      </c>
      <c r="F29" s="193">
        <f>Invånare!F34</f>
        <v>26</v>
      </c>
      <c r="H29" s="185"/>
      <c r="I29" s="505"/>
      <c r="J29" s="507"/>
      <c r="L29" s="101">
        <f>SUM(B29:F29)-Invånare!B13</f>
        <v>0</v>
      </c>
      <c r="N29" s="196"/>
      <c r="O29" s="23"/>
      <c r="P29" s="267"/>
      <c r="Q29" s="23"/>
      <c r="R29" s="23"/>
      <c r="S29" s="23"/>
    </row>
    <row r="30" spans="1:19" ht="16.5" thickTop="1" thickBot="1">
      <c r="A30" s="192" t="s">
        <v>101</v>
      </c>
      <c r="B30" s="193">
        <f>Invånare!B35</f>
        <v>9</v>
      </c>
      <c r="C30" s="266">
        <f>Invånare!C35</f>
        <v>135</v>
      </c>
      <c r="D30" s="193">
        <f>Invånare!D35</f>
        <v>31</v>
      </c>
      <c r="E30" s="193">
        <f>Invånare!E35</f>
        <v>37</v>
      </c>
      <c r="F30" s="193">
        <f>Invånare!F35</f>
        <v>13</v>
      </c>
      <c r="H30" s="185"/>
      <c r="I30" s="506"/>
      <c r="L30" s="101">
        <f>SUM(B30:F30)-Invånare!B14</f>
        <v>0</v>
      </c>
      <c r="N30" s="196"/>
      <c r="O30" s="23"/>
      <c r="P30" s="267"/>
      <c r="Q30" s="23"/>
      <c r="R30" s="23"/>
      <c r="S30" s="23"/>
    </row>
    <row r="31" spans="1:19" ht="16.5" thickTop="1" thickBot="1">
      <c r="A31" s="196" t="s">
        <v>102</v>
      </c>
      <c r="B31" s="23">
        <f>Invånare!B36</f>
        <v>192</v>
      </c>
      <c r="C31" s="267">
        <f>Invånare!C36</f>
        <v>1517</v>
      </c>
      <c r="D31" s="23">
        <f>Invånare!D36</f>
        <v>223</v>
      </c>
      <c r="E31" s="23">
        <f>Invånare!E36</f>
        <v>162</v>
      </c>
      <c r="F31" s="23">
        <f>Invånare!F36</f>
        <v>33</v>
      </c>
      <c r="H31" s="85"/>
      <c r="L31" s="101">
        <f>SUM(B31:F31)-Invånare!B15</f>
        <v>0</v>
      </c>
      <c r="N31" s="196"/>
      <c r="O31" s="23"/>
      <c r="P31" s="267"/>
      <c r="Q31" s="23"/>
      <c r="R31" s="23"/>
      <c r="S31" s="23"/>
    </row>
    <row r="32" spans="1:19" ht="16.5" thickTop="1" thickBot="1">
      <c r="A32" s="196" t="s">
        <v>103</v>
      </c>
      <c r="B32" s="23">
        <f>Invånare!B37</f>
        <v>20</v>
      </c>
      <c r="C32" s="267">
        <f>Invånare!C37</f>
        <v>238</v>
      </c>
      <c r="D32" s="23">
        <f>Invånare!D37</f>
        <v>48</v>
      </c>
      <c r="E32" s="23">
        <f>Invånare!E37</f>
        <v>45</v>
      </c>
      <c r="F32" s="23">
        <f>Invånare!F37</f>
        <v>15</v>
      </c>
      <c r="H32" s="85"/>
      <c r="L32" s="101">
        <f>SUM(B32:F32)-Invånare!B16</f>
        <v>0</v>
      </c>
      <c r="N32" s="196"/>
      <c r="O32" s="23"/>
      <c r="P32" s="267"/>
      <c r="Q32" s="23"/>
      <c r="R32" s="23"/>
      <c r="S32" s="23"/>
    </row>
    <row r="33" spans="1:20" ht="16.5" thickTop="1" thickBot="1">
      <c r="A33" s="196" t="s">
        <v>104</v>
      </c>
      <c r="B33" s="23">
        <f>Invånare!B38</f>
        <v>115</v>
      </c>
      <c r="C33" s="267">
        <f>Invånare!C38</f>
        <v>1197</v>
      </c>
      <c r="D33" s="23">
        <f>Invånare!D38</f>
        <v>247</v>
      </c>
      <c r="E33" s="23">
        <f>Invånare!E38</f>
        <v>157</v>
      </c>
      <c r="F33" s="23">
        <f>Invånare!F38</f>
        <v>75</v>
      </c>
      <c r="H33" s="85"/>
      <c r="L33" s="101">
        <f>SUM(B33:F33)-Invånare!B17</f>
        <v>0</v>
      </c>
      <c r="N33" s="196"/>
      <c r="O33" s="23"/>
      <c r="P33" s="267"/>
      <c r="Q33" s="23"/>
      <c r="R33" s="23"/>
      <c r="S33" s="23"/>
    </row>
    <row r="34" spans="1:20" ht="16.5" thickTop="1" thickBot="1">
      <c r="A34" s="192" t="s">
        <v>105</v>
      </c>
      <c r="B34" s="193">
        <f>Invånare!B39</f>
        <v>7</v>
      </c>
      <c r="C34" s="266">
        <f>Invånare!C39</f>
        <v>71</v>
      </c>
      <c r="D34" s="193">
        <f>Invånare!D39</f>
        <v>18</v>
      </c>
      <c r="E34" s="193">
        <f>Invånare!E39</f>
        <v>16</v>
      </c>
      <c r="F34" s="193">
        <f>Invånare!F39</f>
        <v>3</v>
      </c>
      <c r="H34" s="85"/>
      <c r="L34" s="101">
        <f>SUM(B34:F34)-Invånare!B18</f>
        <v>0</v>
      </c>
      <c r="N34" s="196"/>
      <c r="O34" s="23"/>
      <c r="P34" s="267"/>
      <c r="Q34" s="23"/>
      <c r="R34" s="23"/>
      <c r="S34" s="23"/>
    </row>
    <row r="35" spans="1:20" ht="16.5" thickTop="1" thickBot="1">
      <c r="A35" s="196" t="s">
        <v>106</v>
      </c>
      <c r="B35" s="23">
        <f>Invånare!B40</f>
        <v>56</v>
      </c>
      <c r="C35" s="267">
        <f>Invånare!C40</f>
        <v>662</v>
      </c>
      <c r="D35" s="23">
        <f>Invånare!D40</f>
        <v>148</v>
      </c>
      <c r="E35" s="23">
        <f>Invånare!E40</f>
        <v>98</v>
      </c>
      <c r="F35" s="23">
        <f>Invånare!F40</f>
        <v>31</v>
      </c>
      <c r="H35" s="85"/>
      <c r="L35" s="101">
        <f>SUM(B35:F35)-Invånare!B19</f>
        <v>0</v>
      </c>
      <c r="N35" s="196"/>
      <c r="O35" s="23"/>
      <c r="P35" s="267"/>
      <c r="Q35" s="23"/>
      <c r="R35" s="23"/>
      <c r="S35" s="23"/>
    </row>
    <row r="36" spans="1:20" ht="16.5" thickTop="1" thickBot="1">
      <c r="A36" s="194" t="s">
        <v>107</v>
      </c>
      <c r="B36" s="195">
        <f>Invånare!B41</f>
        <v>47</v>
      </c>
      <c r="C36" s="268">
        <f>Invånare!C41</f>
        <v>298</v>
      </c>
      <c r="D36" s="195">
        <f>Invånare!D41</f>
        <v>63</v>
      </c>
      <c r="E36" s="195">
        <f>Invånare!E41</f>
        <v>40</v>
      </c>
      <c r="F36" s="195">
        <f>Invånare!F41</f>
        <v>23</v>
      </c>
      <c r="H36" s="85"/>
      <c r="L36" s="101">
        <f>SUM(B36:F36)-Invånare!B20</f>
        <v>0</v>
      </c>
      <c r="N36" s="196"/>
      <c r="O36" s="23"/>
      <c r="P36" s="267"/>
      <c r="Q36" s="23"/>
      <c r="R36" s="23"/>
      <c r="S36" s="23"/>
    </row>
    <row r="37" spans="1:20" ht="16.5" thickTop="1" thickBot="1">
      <c r="A37" s="104" t="s">
        <v>108</v>
      </c>
      <c r="B37" s="23">
        <f>Invånare!B42</f>
        <v>623</v>
      </c>
      <c r="C37" s="267">
        <f>Invånare!C42</f>
        <v>8083</v>
      </c>
      <c r="D37" s="23">
        <f>Invånare!D42</f>
        <v>1548</v>
      </c>
      <c r="E37" s="23">
        <f>Invånare!E42</f>
        <v>1148</v>
      </c>
      <c r="F37" s="23">
        <f>Invånare!F42</f>
        <v>410</v>
      </c>
      <c r="H37" s="85"/>
      <c r="L37" s="101">
        <f>SUM(B37:F37)-Invånare!B21</f>
        <v>0</v>
      </c>
      <c r="N37" s="104"/>
      <c r="O37" s="23"/>
      <c r="P37" s="267"/>
      <c r="Q37" s="23"/>
      <c r="R37" s="23"/>
      <c r="S37" s="23"/>
    </row>
    <row r="38" spans="1:20" ht="16.5" thickTop="1" thickBot="1">
      <c r="A38" s="197" t="s">
        <v>109</v>
      </c>
      <c r="B38" s="198">
        <f t="shared" ref="B38:F38" si="0">SUM(B22:B37)</f>
        <v>2043</v>
      </c>
      <c r="C38" s="269">
        <f t="shared" si="0"/>
        <v>21114</v>
      </c>
      <c r="D38" s="198">
        <f t="shared" si="0"/>
        <v>3777</v>
      </c>
      <c r="E38" s="198">
        <f t="shared" si="0"/>
        <v>2679</v>
      </c>
      <c r="F38" s="198">
        <f t="shared" si="0"/>
        <v>928</v>
      </c>
      <c r="H38" s="93">
        <f>SUM(B38:F38)</f>
        <v>30541</v>
      </c>
      <c r="L38" s="199">
        <f>SUM(L22:L37)</f>
        <v>0</v>
      </c>
      <c r="N38" s="104"/>
      <c r="O38" s="764"/>
      <c r="P38" s="765"/>
      <c r="Q38" s="764"/>
      <c r="R38" s="764"/>
      <c r="S38" s="764"/>
    </row>
    <row r="39" spans="1:20" ht="15.75" thickTop="1">
      <c r="A39" s="53"/>
      <c r="B39" s="85"/>
      <c r="C39" s="85"/>
      <c r="D39" s="85"/>
      <c r="E39" s="85"/>
      <c r="F39" s="85"/>
      <c r="H39" s="85"/>
      <c r="L39" s="85"/>
    </row>
    <row r="40" spans="1:20">
      <c r="A40" s="85"/>
      <c r="B40" s="85"/>
      <c r="C40" s="85"/>
      <c r="D40" s="85"/>
      <c r="E40" s="85"/>
      <c r="F40" s="85"/>
      <c r="G40" s="85"/>
      <c r="H40" s="85"/>
    </row>
    <row r="41" spans="1:20">
      <c r="A41" s="104" t="s">
        <v>568</v>
      </c>
      <c r="B41" s="200"/>
      <c r="C41" s="200"/>
      <c r="D41" s="200"/>
      <c r="E41" s="200"/>
      <c r="F41" s="200"/>
      <c r="G41" s="200"/>
      <c r="H41" s="85"/>
      <c r="N41" s="104"/>
      <c r="O41" s="200"/>
      <c r="P41" s="200"/>
      <c r="Q41" s="200"/>
      <c r="R41" s="200"/>
      <c r="S41" s="200"/>
      <c r="T41" s="200"/>
    </row>
    <row r="42" spans="1:20">
      <c r="A42" s="103"/>
      <c r="B42" s="103" t="s">
        <v>377</v>
      </c>
      <c r="C42" s="264"/>
      <c r="D42" s="103" t="s">
        <v>378</v>
      </c>
      <c r="E42" s="103" t="s">
        <v>379</v>
      </c>
      <c r="F42" s="103" t="s">
        <v>380</v>
      </c>
      <c r="G42" s="201" t="s">
        <v>569</v>
      </c>
      <c r="H42" s="85"/>
      <c r="I42" s="201" t="s">
        <v>570</v>
      </c>
      <c r="N42" s="104"/>
      <c r="O42" s="104"/>
      <c r="P42" s="766"/>
      <c r="Q42" s="104"/>
      <c r="R42" s="104"/>
      <c r="S42" s="104"/>
      <c r="T42" s="104"/>
    </row>
    <row r="43" spans="1:20">
      <c r="A43" s="202" t="s">
        <v>93</v>
      </c>
      <c r="B43" s="203">
        <f>B9*$E$17*B22</f>
        <v>83422.409279999993</v>
      </c>
      <c r="C43" s="203"/>
      <c r="D43" s="203">
        <f>D9*$C$17*D22</f>
        <v>35478.079000000005</v>
      </c>
      <c r="E43" s="203">
        <f>E9*$C$17*E22</f>
        <v>109177.4645</v>
      </c>
      <c r="F43" s="203">
        <f>F9*$C$17*F22</f>
        <v>110351.7415</v>
      </c>
      <c r="G43" s="401">
        <f>ROUND(SUM(D43:F43),2)</f>
        <v>255007.29</v>
      </c>
      <c r="H43" s="85"/>
      <c r="I43" s="302">
        <f>B43</f>
        <v>83422.409279999993</v>
      </c>
      <c r="N43" s="767"/>
      <c r="O43" s="211"/>
      <c r="P43" s="211"/>
      <c r="Q43" s="211"/>
      <c r="R43" s="211"/>
      <c r="S43" s="211"/>
      <c r="T43" s="211"/>
    </row>
    <row r="44" spans="1:20">
      <c r="A44" s="149" t="s">
        <v>94</v>
      </c>
      <c r="B44" s="204">
        <f>B9*B23*$E$15</f>
        <v>139521.70022</v>
      </c>
      <c r="C44" s="204"/>
      <c r="D44" s="204">
        <f>D9*D23*$C$15</f>
        <v>25460.3475</v>
      </c>
      <c r="E44" s="204">
        <f>E9*E23*$C$15</f>
        <v>66901.444999999992</v>
      </c>
      <c r="F44" s="204">
        <f>F9*F23*$C$15</f>
        <v>100044.16125</v>
      </c>
      <c r="G44" s="401">
        <f t="shared" ref="G44:G58" si="1">ROUND(SUM(D44:F44),2)</f>
        <v>192405.95</v>
      </c>
      <c r="H44" s="85"/>
      <c r="I44" s="302">
        <f t="shared" ref="I44:I59" si="2">B44</f>
        <v>139521.70022</v>
      </c>
      <c r="N44" s="224"/>
      <c r="O44" s="204"/>
      <c r="P44" s="204"/>
      <c r="Q44" s="204"/>
      <c r="R44" s="204"/>
      <c r="S44" s="204"/>
      <c r="T44" s="211"/>
    </row>
    <row r="45" spans="1:20">
      <c r="A45" s="149" t="s">
        <v>95</v>
      </c>
      <c r="B45" s="204">
        <f>B9*B24*$E$15</f>
        <v>430388.97355999995</v>
      </c>
      <c r="C45" s="204"/>
      <c r="D45" s="204">
        <f>D9*D24*$C$15</f>
        <v>52418.362500000003</v>
      </c>
      <c r="E45" s="204">
        <f>E9*E24*$C$15</f>
        <v>152307.54499999998</v>
      </c>
      <c r="F45" s="204">
        <f>F9*F24*$C$15</f>
        <v>221309.81125</v>
      </c>
      <c r="G45" s="401">
        <f t="shared" si="1"/>
        <v>426035.72</v>
      </c>
      <c r="H45" s="85"/>
      <c r="I45" s="302">
        <f t="shared" si="2"/>
        <v>430388.97355999995</v>
      </c>
      <c r="N45" s="224"/>
      <c r="O45" s="204"/>
      <c r="P45" s="204"/>
      <c r="Q45" s="204"/>
      <c r="R45" s="204"/>
      <c r="S45" s="204"/>
      <c r="T45" s="211"/>
    </row>
    <row r="46" spans="1:20">
      <c r="A46" s="205" t="s">
        <v>96</v>
      </c>
      <c r="B46" s="206">
        <f>B9*B25*$E$16</f>
        <v>139550.19147999998</v>
      </c>
      <c r="C46" s="206"/>
      <c r="D46" s="206">
        <f>D9*D25*$C$16</f>
        <v>29287.720000000005</v>
      </c>
      <c r="E46" s="206">
        <f>E9*E25*$C$16</f>
        <v>90815.153000000006</v>
      </c>
      <c r="F46" s="206">
        <f>F9*F25*$C$16</f>
        <v>160070.65800000002</v>
      </c>
      <c r="G46" s="401">
        <f t="shared" si="1"/>
        <v>280173.53000000003</v>
      </c>
      <c r="H46" s="85"/>
      <c r="I46" s="302">
        <f t="shared" si="2"/>
        <v>139550.19147999998</v>
      </c>
      <c r="N46" s="224"/>
      <c r="O46" s="204"/>
      <c r="P46" s="204"/>
      <c r="Q46" s="204"/>
      <c r="R46" s="204"/>
      <c r="S46" s="204"/>
      <c r="T46" s="211"/>
    </row>
    <row r="47" spans="1:20">
      <c r="A47" s="149" t="s">
        <v>97</v>
      </c>
      <c r="B47" s="204">
        <f>B9*B26*$E$15</f>
        <v>80402.335720000003</v>
      </c>
      <c r="C47" s="204"/>
      <c r="D47" s="204">
        <f>D9*D26*$C$15</f>
        <v>10650.08</v>
      </c>
      <c r="E47" s="204">
        <f>E9*E26*$C$15</f>
        <v>32739.004999999997</v>
      </c>
      <c r="F47" s="204">
        <f>F9*F26*$C$15</f>
        <v>63664.466250000005</v>
      </c>
      <c r="G47" s="401">
        <f t="shared" si="1"/>
        <v>107053.55</v>
      </c>
      <c r="H47" s="85"/>
      <c r="I47" s="302">
        <f t="shared" si="2"/>
        <v>80402.335720000003</v>
      </c>
      <c r="N47" s="224"/>
      <c r="O47" s="204"/>
      <c r="P47" s="204"/>
      <c r="Q47" s="204"/>
      <c r="R47" s="204"/>
      <c r="S47" s="204"/>
      <c r="T47" s="211"/>
    </row>
    <row r="48" spans="1:20">
      <c r="A48" s="149" t="s">
        <v>98</v>
      </c>
      <c r="B48" s="204">
        <f>B9*B27*$E$15</f>
        <v>286137.72418000002</v>
      </c>
      <c r="C48" s="204"/>
      <c r="D48" s="204">
        <f>D9*D27*$C$15</f>
        <v>30119.7575</v>
      </c>
      <c r="E48" s="204">
        <f>E9*E27*$C$15</f>
        <v>106757.625</v>
      </c>
      <c r="F48" s="204">
        <f>F9*F27*$C$15</f>
        <v>151582.0625</v>
      </c>
      <c r="G48" s="401">
        <f t="shared" si="1"/>
        <v>288459.45</v>
      </c>
      <c r="H48" s="85"/>
      <c r="I48" s="302">
        <f t="shared" si="2"/>
        <v>286137.72418000002</v>
      </c>
      <c r="N48" s="224"/>
      <c r="O48" s="204"/>
      <c r="P48" s="204"/>
      <c r="Q48" s="204"/>
      <c r="R48" s="204"/>
      <c r="S48" s="204"/>
      <c r="T48" s="211"/>
    </row>
    <row r="49" spans="1:20">
      <c r="A49" s="149" t="s">
        <v>99</v>
      </c>
      <c r="B49" s="204">
        <f>B9*B28*$E$15</f>
        <v>1224953.2324399999</v>
      </c>
      <c r="C49" s="204"/>
      <c r="D49" s="204">
        <f>D9*D28*$C$15</f>
        <v>85200.639999999999</v>
      </c>
      <c r="E49" s="204">
        <f>E9*E28*$C$15</f>
        <v>231308.1875</v>
      </c>
      <c r="F49" s="204">
        <f>F9*F28*$C$15</f>
        <v>254657.86500000002</v>
      </c>
      <c r="G49" s="401">
        <f t="shared" si="1"/>
        <v>571166.68999999994</v>
      </c>
      <c r="H49" s="85"/>
      <c r="I49" s="302">
        <f t="shared" si="2"/>
        <v>1224953.2324399999</v>
      </c>
      <c r="N49" s="224"/>
      <c r="O49" s="204"/>
      <c r="P49" s="204"/>
      <c r="Q49" s="204"/>
      <c r="R49" s="204"/>
      <c r="S49" s="204"/>
      <c r="T49" s="211"/>
    </row>
    <row r="50" spans="1:20">
      <c r="A50" s="202" t="s">
        <v>100</v>
      </c>
      <c r="B50" s="203">
        <f>B9*$E$17*B29</f>
        <v>67780.707539999989</v>
      </c>
      <c r="C50" s="203"/>
      <c r="D50" s="203">
        <f>D9*$C$17*D29</f>
        <v>27690.208000000002</v>
      </c>
      <c r="E50" s="203">
        <f>E9*$C$17*E29</f>
        <v>55513.965000000004</v>
      </c>
      <c r="F50" s="203">
        <f>F9*$C$17*F29</f>
        <v>204938.94850000003</v>
      </c>
      <c r="G50" s="401">
        <f t="shared" si="1"/>
        <v>288143.12</v>
      </c>
      <c r="H50" s="85"/>
      <c r="I50" s="302">
        <f t="shared" si="2"/>
        <v>67780.707539999989</v>
      </c>
      <c r="N50" s="767"/>
      <c r="O50" s="211"/>
      <c r="P50" s="211"/>
      <c r="Q50" s="211"/>
      <c r="R50" s="211"/>
      <c r="S50" s="211"/>
      <c r="T50" s="211"/>
    </row>
    <row r="51" spans="1:20">
      <c r="A51" s="202" t="s">
        <v>101</v>
      </c>
      <c r="B51" s="203">
        <f>B9*$E$17*B30</f>
        <v>46925.105219999998</v>
      </c>
      <c r="C51" s="203"/>
      <c r="D51" s="203">
        <f>D9*$C$17*D30</f>
        <v>13412.444500000001</v>
      </c>
      <c r="E51" s="203">
        <f>E9*$C$17*E30</f>
        <v>68467.223500000007</v>
      </c>
      <c r="F51" s="203">
        <f>F9*$C$17*F30</f>
        <v>102469.47425000001</v>
      </c>
      <c r="G51" s="401">
        <f t="shared" si="1"/>
        <v>184349.14</v>
      </c>
      <c r="H51" s="85"/>
      <c r="I51" s="302">
        <f t="shared" si="2"/>
        <v>46925.105219999998</v>
      </c>
      <c r="N51" s="767"/>
      <c r="O51" s="211"/>
      <c r="P51" s="211"/>
      <c r="Q51" s="211"/>
      <c r="R51" s="211"/>
      <c r="S51" s="211"/>
      <c r="T51" s="211"/>
    </row>
    <row r="52" spans="1:20">
      <c r="A52" s="149" t="s">
        <v>102</v>
      </c>
      <c r="B52" s="204">
        <f>B9*B31*$E$15</f>
        <v>454036.71936000005</v>
      </c>
      <c r="C52" s="204"/>
      <c r="D52" s="204">
        <f>D9*D31*$C$15</f>
        <v>37108.872499999998</v>
      </c>
      <c r="E52" s="204">
        <f>E9*E31*$C$15</f>
        <v>115298.235</v>
      </c>
      <c r="F52" s="204">
        <f>F9*F31*$C$15</f>
        <v>100044.16125</v>
      </c>
      <c r="G52" s="401">
        <f t="shared" si="1"/>
        <v>252451.27</v>
      </c>
      <c r="H52" s="85"/>
      <c r="I52" s="302">
        <f t="shared" si="2"/>
        <v>454036.71936000005</v>
      </c>
      <c r="N52" s="224"/>
      <c r="O52" s="204"/>
      <c r="P52" s="204"/>
      <c r="Q52" s="204"/>
      <c r="R52" s="204"/>
      <c r="S52" s="204"/>
      <c r="T52" s="211"/>
    </row>
    <row r="53" spans="1:20">
      <c r="A53" s="149" t="s">
        <v>103</v>
      </c>
      <c r="B53" s="204">
        <f>B9*B32*$E$15</f>
        <v>47295.491600000001</v>
      </c>
      <c r="C53" s="204"/>
      <c r="D53" s="204">
        <f>D9*D32*$C$15</f>
        <v>7987.5599999999995</v>
      </c>
      <c r="E53" s="204">
        <f>E9*E32*$C$15</f>
        <v>32027.287499999999</v>
      </c>
      <c r="F53" s="204">
        <f>F9*F32*$C$15</f>
        <v>45474.618750000001</v>
      </c>
      <c r="G53" s="401">
        <f t="shared" si="1"/>
        <v>85489.47</v>
      </c>
      <c r="H53" s="85"/>
      <c r="I53" s="302">
        <f t="shared" si="2"/>
        <v>47295.491600000001</v>
      </c>
      <c r="N53" s="224"/>
      <c r="O53" s="204"/>
      <c r="P53" s="204"/>
      <c r="Q53" s="204"/>
      <c r="R53" s="204"/>
      <c r="S53" s="204"/>
      <c r="T53" s="211"/>
    </row>
    <row r="54" spans="1:20">
      <c r="A54" s="149" t="s">
        <v>104</v>
      </c>
      <c r="B54" s="204">
        <f>B9*B33*$E$15</f>
        <v>271949.07670000003</v>
      </c>
      <c r="C54" s="204"/>
      <c r="D54" s="204">
        <f>D9*D33*$C$15</f>
        <v>41102.652499999997</v>
      </c>
      <c r="E54" s="204">
        <f>E9*E33*$C$15</f>
        <v>111739.64749999999</v>
      </c>
      <c r="F54" s="204">
        <f>F9*F33*$C$15</f>
        <v>227373.09375</v>
      </c>
      <c r="G54" s="401">
        <f t="shared" si="1"/>
        <v>380215.39</v>
      </c>
      <c r="H54" s="85"/>
      <c r="I54" s="302">
        <f t="shared" si="2"/>
        <v>271949.07670000003</v>
      </c>
      <c r="N54" s="224"/>
      <c r="O54" s="204"/>
      <c r="P54" s="204"/>
      <c r="Q54" s="204"/>
      <c r="R54" s="204"/>
      <c r="S54" s="204"/>
      <c r="T54" s="211"/>
    </row>
    <row r="55" spans="1:20">
      <c r="A55" s="202" t="s">
        <v>105</v>
      </c>
      <c r="B55" s="203">
        <f>B9*$E$17*B34</f>
        <v>36497.304059999995</v>
      </c>
      <c r="C55" s="203"/>
      <c r="D55" s="203">
        <f>D9*$C$17*D34</f>
        <v>7787.871000000001</v>
      </c>
      <c r="E55" s="203">
        <f>E9*$C$17*E34</f>
        <v>29607.448</v>
      </c>
      <c r="F55" s="203">
        <f>F9*$C$17*F34</f>
        <v>23646.801750000002</v>
      </c>
      <c r="G55" s="401">
        <f t="shared" si="1"/>
        <v>61042.12</v>
      </c>
      <c r="H55" s="85"/>
      <c r="I55" s="302">
        <f t="shared" si="2"/>
        <v>36497.304059999995</v>
      </c>
      <c r="N55" s="767"/>
      <c r="O55" s="211"/>
      <c r="P55" s="211"/>
      <c r="Q55" s="211"/>
      <c r="R55" s="211"/>
      <c r="S55" s="211"/>
      <c r="T55" s="211"/>
    </row>
    <row r="56" spans="1:20">
      <c r="A56" s="149" t="s">
        <v>106</v>
      </c>
      <c r="B56" s="204">
        <f>B9*B35*$E$15</f>
        <v>132427.37648000001</v>
      </c>
      <c r="C56" s="204"/>
      <c r="D56" s="204">
        <f>D9*D35*$C$15</f>
        <v>24628.31</v>
      </c>
      <c r="E56" s="204">
        <f>E9*E35*$C$15</f>
        <v>69748.315000000002</v>
      </c>
      <c r="F56" s="204">
        <f>F9*F35*$C$15</f>
        <v>93980.878750000003</v>
      </c>
      <c r="G56" s="401">
        <f t="shared" si="1"/>
        <v>188357.5</v>
      </c>
      <c r="H56" s="85"/>
      <c r="I56" s="302">
        <f t="shared" si="2"/>
        <v>132427.37648000001</v>
      </c>
      <c r="N56" s="224"/>
      <c r="O56" s="204"/>
      <c r="P56" s="204"/>
      <c r="Q56" s="204"/>
      <c r="R56" s="204"/>
      <c r="S56" s="204"/>
      <c r="T56" s="211"/>
    </row>
    <row r="57" spans="1:20">
      <c r="A57" s="207" t="s">
        <v>107</v>
      </c>
      <c r="B57" s="206">
        <f>B9*B36*$E$16</f>
        <v>211576.09675999999</v>
      </c>
      <c r="C57" s="206"/>
      <c r="D57" s="206">
        <f>D9*D36*$C$16</f>
        <v>23064.079500000003</v>
      </c>
      <c r="E57" s="206">
        <f>E9*E36*$C$16</f>
        <v>62631.14</v>
      </c>
      <c r="F57" s="206">
        <f>F9*F36*$C$16</f>
        <v>153401.04725</v>
      </c>
      <c r="G57" s="401">
        <f t="shared" si="1"/>
        <v>239096.27</v>
      </c>
      <c r="H57" s="85"/>
      <c r="I57" s="302">
        <f t="shared" si="2"/>
        <v>211576.09675999999</v>
      </c>
      <c r="N57" s="760"/>
      <c r="O57" s="204"/>
      <c r="P57" s="204"/>
      <c r="Q57" s="204"/>
      <c r="R57" s="204"/>
      <c r="S57" s="204"/>
      <c r="T57" s="211"/>
    </row>
    <row r="58" spans="1:20" ht="15.75" thickBot="1">
      <c r="A58" s="149" t="s">
        <v>108</v>
      </c>
      <c r="B58" s="204">
        <f>B9*B37*$E$15</f>
        <v>1473254.5633400001</v>
      </c>
      <c r="C58" s="204"/>
      <c r="D58" s="204">
        <f>D9*D37*$C$15</f>
        <v>257598.81</v>
      </c>
      <c r="E58" s="204">
        <f>E9*E37*$C$15</f>
        <v>817051.69</v>
      </c>
      <c r="F58" s="204">
        <f>F9*F37*$C$15</f>
        <v>1242972.9125000001</v>
      </c>
      <c r="G58" s="401">
        <f t="shared" si="1"/>
        <v>2317623.41</v>
      </c>
      <c r="H58" s="85"/>
      <c r="I58" s="302">
        <f t="shared" si="2"/>
        <v>1473254.5633400001</v>
      </c>
      <c r="N58" s="224"/>
      <c r="O58" s="204"/>
      <c r="P58" s="204"/>
      <c r="Q58" s="204"/>
      <c r="R58" s="204"/>
      <c r="S58" s="204"/>
      <c r="T58" s="211"/>
    </row>
    <row r="59" spans="1:20" ht="16.5" thickTop="1" thickBot="1">
      <c r="A59" s="208" t="s">
        <v>109</v>
      </c>
      <c r="B59" s="209">
        <f>SUM(B43:B58)</f>
        <v>5126119.0079399999</v>
      </c>
      <c r="C59" s="158"/>
      <c r="D59" s="209">
        <f t="shared" ref="D59:E59" si="3">SUM(D43:D58)</f>
        <v>708995.79449999984</v>
      </c>
      <c r="E59" s="209">
        <f t="shared" si="3"/>
        <v>2152091.3764999998</v>
      </c>
      <c r="F59" s="209">
        <f>SUM(F43:F58)</f>
        <v>3255982.7025000001</v>
      </c>
      <c r="G59" s="402">
        <f>SUM(G43:G58)</f>
        <v>6117069.870000001</v>
      </c>
      <c r="I59" s="303">
        <f t="shared" si="2"/>
        <v>5126119.0079399999</v>
      </c>
      <c r="L59" s="101">
        <f>G59-Sociala!B22</f>
        <v>0</v>
      </c>
      <c r="N59" s="224"/>
      <c r="O59" s="93"/>
      <c r="P59" s="85"/>
      <c r="Q59" s="93"/>
      <c r="R59" s="93"/>
      <c r="S59" s="93"/>
      <c r="T59" s="768"/>
    </row>
    <row r="60" spans="1:20" ht="15.75" thickTop="1">
      <c r="A60" s="85"/>
      <c r="B60" s="85"/>
      <c r="C60" s="85"/>
      <c r="D60" s="85"/>
      <c r="E60" s="85"/>
      <c r="F60" s="85"/>
      <c r="G60" s="85"/>
      <c r="H60" s="85"/>
    </row>
    <row r="61" spans="1:20">
      <c r="A61" s="85"/>
      <c r="B61" s="85"/>
      <c r="C61" s="85"/>
      <c r="D61" s="85"/>
      <c r="E61" s="85"/>
      <c r="F61" s="85"/>
      <c r="G61" s="85"/>
      <c r="H61" s="85"/>
    </row>
    <row r="62" spans="1:20">
      <c r="A62" s="104" t="s">
        <v>571</v>
      </c>
      <c r="B62" s="200"/>
      <c r="C62" s="200"/>
      <c r="D62" s="200"/>
      <c r="E62" s="200"/>
      <c r="F62" s="200"/>
      <c r="G62" s="200"/>
      <c r="H62" s="85"/>
      <c r="J62" s="353"/>
      <c r="N62" s="104"/>
      <c r="O62" s="200"/>
      <c r="P62" s="200"/>
      <c r="Q62" s="200"/>
      <c r="R62" s="200"/>
      <c r="S62" s="200"/>
      <c r="T62" s="200"/>
    </row>
    <row r="63" spans="1:20">
      <c r="A63" s="103"/>
      <c r="B63" s="103" t="s">
        <v>377</v>
      </c>
      <c r="C63" s="103"/>
      <c r="D63" s="103" t="s">
        <v>378</v>
      </c>
      <c r="E63" s="103" t="s">
        <v>379</v>
      </c>
      <c r="F63" s="103" t="s">
        <v>380</v>
      </c>
      <c r="G63" s="210" t="s">
        <v>72</v>
      </c>
      <c r="H63" s="85"/>
      <c r="N63" s="104"/>
      <c r="O63" s="104"/>
      <c r="P63" s="104"/>
      <c r="Q63" s="104"/>
      <c r="R63" s="104"/>
      <c r="S63" s="104"/>
      <c r="T63" s="104"/>
    </row>
    <row r="64" spans="1:20">
      <c r="A64" s="202" t="s">
        <v>93</v>
      </c>
      <c r="B64" s="203">
        <f>$B$9*B22</f>
        <v>227930.08</v>
      </c>
      <c r="C64" s="203"/>
      <c r="D64" s="203">
        <f>$D$9*D22</f>
        <v>109163.31999999999</v>
      </c>
      <c r="E64" s="203">
        <f>$E$9*E22</f>
        <v>335930.66</v>
      </c>
      <c r="F64" s="203">
        <f>$F$9*F22</f>
        <v>339543.82</v>
      </c>
      <c r="G64" s="304">
        <f>ROUND(SUM(B64:F64),2)</f>
        <v>1012567.88</v>
      </c>
      <c r="H64" s="85"/>
      <c r="N64" s="767"/>
      <c r="O64" s="211"/>
      <c r="P64" s="211"/>
      <c r="Q64" s="211"/>
      <c r="R64" s="211"/>
      <c r="S64" s="211"/>
      <c r="T64" s="211"/>
    </row>
    <row r="65" spans="1:20">
      <c r="A65" s="149" t="s">
        <v>94</v>
      </c>
      <c r="B65" s="211">
        <f t="shared" ref="B65:B79" si="4">$B$9*B23</f>
        <v>840492.16999999993</v>
      </c>
      <c r="C65" s="211"/>
      <c r="D65" s="211">
        <f t="shared" ref="D65:D79" si="5">$D$9*D23</f>
        <v>203682.78</v>
      </c>
      <c r="E65" s="211">
        <f t="shared" ref="E65:E79" si="6">$E$9*E23</f>
        <v>535211.55999999994</v>
      </c>
      <c r="F65" s="211">
        <f t="shared" ref="F65:F79" si="7">$F$9*F23</f>
        <v>800353.29</v>
      </c>
      <c r="G65" s="304">
        <f t="shared" ref="G65:G79" si="8">ROUND(SUM(B65:F65),2)</f>
        <v>2379739.7999999998</v>
      </c>
      <c r="H65" s="85"/>
      <c r="N65" s="224"/>
      <c r="O65" s="211"/>
      <c r="P65" s="211"/>
      <c r="Q65" s="211"/>
      <c r="R65" s="211"/>
      <c r="S65" s="211"/>
      <c r="T65" s="211"/>
    </row>
    <row r="66" spans="1:20">
      <c r="A66" s="149" t="s">
        <v>95</v>
      </c>
      <c r="B66" s="211">
        <f t="shared" si="4"/>
        <v>2592704.6599999997</v>
      </c>
      <c r="C66" s="211"/>
      <c r="D66" s="211">
        <f t="shared" si="5"/>
        <v>419346.9</v>
      </c>
      <c r="E66" s="211">
        <f t="shared" si="6"/>
        <v>1218460.3599999999</v>
      </c>
      <c r="F66" s="211">
        <f t="shared" si="7"/>
        <v>1770478.49</v>
      </c>
      <c r="G66" s="304">
        <f t="shared" si="8"/>
        <v>6000990.4100000001</v>
      </c>
      <c r="H66" s="85"/>
      <c r="N66" s="224"/>
      <c r="O66" s="211"/>
      <c r="P66" s="211"/>
      <c r="Q66" s="211"/>
      <c r="R66" s="211"/>
      <c r="S66" s="211"/>
      <c r="T66" s="211"/>
    </row>
    <row r="67" spans="1:20">
      <c r="A67" s="205" t="s">
        <v>96</v>
      </c>
      <c r="B67" s="212">
        <f t="shared" si="4"/>
        <v>441614.52999999997</v>
      </c>
      <c r="C67" s="212"/>
      <c r="D67" s="212">
        <f t="shared" si="5"/>
        <v>106500.8</v>
      </c>
      <c r="E67" s="212">
        <f t="shared" si="6"/>
        <v>330236.92</v>
      </c>
      <c r="F67" s="212">
        <f t="shared" si="7"/>
        <v>582075.12</v>
      </c>
      <c r="G67" s="304">
        <f t="shared" si="8"/>
        <v>1460427.37</v>
      </c>
      <c r="H67" s="85"/>
      <c r="N67" s="224"/>
      <c r="O67" s="211"/>
      <c r="P67" s="211"/>
      <c r="Q67" s="211"/>
      <c r="R67" s="211"/>
      <c r="S67" s="211"/>
      <c r="T67" s="211"/>
    </row>
    <row r="68" spans="1:20">
      <c r="A68" s="149" t="s">
        <v>97</v>
      </c>
      <c r="B68" s="211">
        <f t="shared" si="4"/>
        <v>484351.42</v>
      </c>
      <c r="C68" s="211"/>
      <c r="D68" s="211">
        <f t="shared" si="5"/>
        <v>85200.639999999999</v>
      </c>
      <c r="E68" s="211">
        <f t="shared" si="6"/>
        <v>261912.03999999998</v>
      </c>
      <c r="F68" s="211">
        <f t="shared" si="7"/>
        <v>509315.73000000004</v>
      </c>
      <c r="G68" s="304">
        <f t="shared" si="8"/>
        <v>1340779.83</v>
      </c>
      <c r="H68" s="85"/>
      <c r="N68" s="224"/>
      <c r="O68" s="211"/>
      <c r="P68" s="211"/>
      <c r="Q68" s="211"/>
      <c r="R68" s="211"/>
      <c r="S68" s="211"/>
      <c r="T68" s="211"/>
    </row>
    <row r="69" spans="1:20">
      <c r="A69" s="149" t="s">
        <v>98</v>
      </c>
      <c r="B69" s="211">
        <f t="shared" si="4"/>
        <v>1723721.23</v>
      </c>
      <c r="C69" s="211"/>
      <c r="D69" s="211">
        <f t="shared" si="5"/>
        <v>240958.06</v>
      </c>
      <c r="E69" s="211">
        <f>$E$9*E27</f>
        <v>854061</v>
      </c>
      <c r="F69" s="211">
        <f t="shared" si="7"/>
        <v>1212656.5</v>
      </c>
      <c r="G69" s="304">
        <f t="shared" si="8"/>
        <v>4031396.79</v>
      </c>
      <c r="H69" s="85"/>
      <c r="N69" s="224"/>
      <c r="O69" s="211"/>
      <c r="P69" s="211"/>
      <c r="Q69" s="211"/>
      <c r="R69" s="211"/>
      <c r="S69" s="211"/>
      <c r="T69" s="211"/>
    </row>
    <row r="70" spans="1:20">
      <c r="A70" s="149" t="s">
        <v>99</v>
      </c>
      <c r="B70" s="211">
        <f t="shared" si="4"/>
        <v>7379236.3399999999</v>
      </c>
      <c r="C70" s="211"/>
      <c r="D70" s="211">
        <f t="shared" si="5"/>
        <v>681605.12</v>
      </c>
      <c r="E70" s="211">
        <f t="shared" si="6"/>
        <v>1850465.5</v>
      </c>
      <c r="F70" s="211">
        <f t="shared" si="7"/>
        <v>2037262.9200000002</v>
      </c>
      <c r="G70" s="304">
        <f t="shared" si="8"/>
        <v>11948569.880000001</v>
      </c>
      <c r="H70" s="85"/>
      <c r="N70" s="224"/>
      <c r="O70" s="211"/>
      <c r="P70" s="211"/>
      <c r="Q70" s="211"/>
      <c r="R70" s="211"/>
      <c r="S70" s="211"/>
      <c r="T70" s="211"/>
    </row>
    <row r="71" spans="1:20">
      <c r="A71" s="202" t="s">
        <v>100</v>
      </c>
      <c r="B71" s="203">
        <f t="shared" si="4"/>
        <v>185193.19</v>
      </c>
      <c r="C71" s="203"/>
      <c r="D71" s="203">
        <f t="shared" si="5"/>
        <v>85200.639999999999</v>
      </c>
      <c r="E71" s="203">
        <f t="shared" si="6"/>
        <v>170812.19999999998</v>
      </c>
      <c r="F71" s="203">
        <f t="shared" si="7"/>
        <v>630581.38</v>
      </c>
      <c r="G71" s="304">
        <f t="shared" si="8"/>
        <v>1071787.4099999999</v>
      </c>
      <c r="H71" s="85"/>
      <c r="N71" s="767"/>
      <c r="O71" s="211"/>
      <c r="P71" s="211"/>
      <c r="Q71" s="211"/>
      <c r="R71" s="211"/>
      <c r="S71" s="211"/>
      <c r="T71" s="211"/>
    </row>
    <row r="72" spans="1:20">
      <c r="A72" s="202" t="s">
        <v>101</v>
      </c>
      <c r="B72" s="203">
        <f t="shared" si="4"/>
        <v>128210.67</v>
      </c>
      <c r="C72" s="203"/>
      <c r="D72" s="203">
        <f t="shared" si="5"/>
        <v>41269.06</v>
      </c>
      <c r="E72" s="203">
        <f t="shared" si="6"/>
        <v>210668.38</v>
      </c>
      <c r="F72" s="203">
        <f t="shared" si="7"/>
        <v>315290.69</v>
      </c>
      <c r="G72" s="304">
        <f t="shared" si="8"/>
        <v>695438.8</v>
      </c>
      <c r="H72" s="85"/>
      <c r="N72" s="767"/>
      <c r="O72" s="211"/>
      <c r="P72" s="211"/>
      <c r="Q72" s="211"/>
      <c r="R72" s="211"/>
      <c r="S72" s="211"/>
      <c r="T72" s="211"/>
    </row>
    <row r="73" spans="1:20">
      <c r="A73" s="149" t="s">
        <v>102</v>
      </c>
      <c r="B73" s="211">
        <f t="shared" si="4"/>
        <v>2735160.96</v>
      </c>
      <c r="C73" s="211"/>
      <c r="D73" s="211">
        <f t="shared" si="5"/>
        <v>296870.98</v>
      </c>
      <c r="E73" s="211">
        <f t="shared" si="6"/>
        <v>922385.88</v>
      </c>
      <c r="F73" s="211">
        <f t="shared" si="7"/>
        <v>800353.29</v>
      </c>
      <c r="G73" s="304">
        <f t="shared" si="8"/>
        <v>4754771.1100000003</v>
      </c>
      <c r="H73" s="85"/>
      <c r="N73" s="224"/>
      <c r="O73" s="211"/>
      <c r="P73" s="211"/>
      <c r="Q73" s="211"/>
      <c r="R73" s="211"/>
      <c r="S73" s="211"/>
      <c r="T73" s="211"/>
    </row>
    <row r="74" spans="1:20">
      <c r="A74" s="149" t="s">
        <v>103</v>
      </c>
      <c r="B74" s="211">
        <f t="shared" si="4"/>
        <v>284912.59999999998</v>
      </c>
      <c r="C74" s="211"/>
      <c r="D74" s="211">
        <f t="shared" si="5"/>
        <v>63900.479999999996</v>
      </c>
      <c r="E74" s="211">
        <f t="shared" si="6"/>
        <v>256218.3</v>
      </c>
      <c r="F74" s="211">
        <f t="shared" si="7"/>
        <v>363796.95</v>
      </c>
      <c r="G74" s="304">
        <f t="shared" si="8"/>
        <v>968828.33</v>
      </c>
      <c r="H74" s="85"/>
      <c r="N74" s="224"/>
      <c r="O74" s="211"/>
      <c r="P74" s="211"/>
      <c r="Q74" s="211"/>
      <c r="R74" s="211"/>
      <c r="S74" s="211"/>
      <c r="T74" s="211"/>
    </row>
    <row r="75" spans="1:20">
      <c r="A75" s="149" t="s">
        <v>104</v>
      </c>
      <c r="B75" s="211">
        <f t="shared" si="4"/>
        <v>1638247.45</v>
      </c>
      <c r="C75" s="211"/>
      <c r="D75" s="211">
        <f t="shared" si="5"/>
        <v>328821.21999999997</v>
      </c>
      <c r="E75" s="211">
        <f t="shared" si="6"/>
        <v>893917.17999999993</v>
      </c>
      <c r="F75" s="211">
        <f t="shared" si="7"/>
        <v>1818984.75</v>
      </c>
      <c r="G75" s="304">
        <f t="shared" si="8"/>
        <v>4679970.5999999996</v>
      </c>
      <c r="H75" s="85"/>
      <c r="N75" s="224"/>
      <c r="O75" s="211"/>
      <c r="P75" s="211"/>
      <c r="Q75" s="211"/>
      <c r="R75" s="211"/>
      <c r="S75" s="211"/>
      <c r="T75" s="211"/>
    </row>
    <row r="76" spans="1:20">
      <c r="A76" s="202" t="s">
        <v>105</v>
      </c>
      <c r="B76" s="203">
        <f t="shared" si="4"/>
        <v>99719.409999999989</v>
      </c>
      <c r="C76" s="203"/>
      <c r="D76" s="203">
        <f t="shared" si="5"/>
        <v>23962.68</v>
      </c>
      <c r="E76" s="203">
        <f t="shared" si="6"/>
        <v>91099.839999999997</v>
      </c>
      <c r="F76" s="203">
        <f t="shared" si="7"/>
        <v>72759.39</v>
      </c>
      <c r="G76" s="304">
        <f t="shared" si="8"/>
        <v>287541.32</v>
      </c>
      <c r="H76" s="85"/>
      <c r="N76" s="767"/>
      <c r="O76" s="211"/>
      <c r="P76" s="211"/>
      <c r="Q76" s="211"/>
      <c r="R76" s="211"/>
      <c r="S76" s="211"/>
      <c r="T76" s="211"/>
    </row>
    <row r="77" spans="1:20">
      <c r="A77" s="149" t="s">
        <v>106</v>
      </c>
      <c r="B77" s="211">
        <f t="shared" si="4"/>
        <v>797755.27999999991</v>
      </c>
      <c r="C77" s="211"/>
      <c r="D77" s="211">
        <f t="shared" si="5"/>
        <v>197026.48</v>
      </c>
      <c r="E77" s="211">
        <f t="shared" si="6"/>
        <v>557986.52</v>
      </c>
      <c r="F77" s="211">
        <f t="shared" si="7"/>
        <v>751847.03</v>
      </c>
      <c r="G77" s="304">
        <f t="shared" si="8"/>
        <v>2304615.31</v>
      </c>
      <c r="H77" s="85"/>
      <c r="N77" s="224"/>
      <c r="O77" s="211"/>
      <c r="P77" s="211"/>
      <c r="Q77" s="211"/>
      <c r="R77" s="211"/>
      <c r="S77" s="211"/>
      <c r="T77" s="211"/>
    </row>
    <row r="78" spans="1:20">
      <c r="A78" s="207" t="s">
        <v>107</v>
      </c>
      <c r="B78" s="212">
        <f t="shared" si="4"/>
        <v>669544.61</v>
      </c>
      <c r="C78" s="212"/>
      <c r="D78" s="212">
        <f t="shared" si="5"/>
        <v>83869.38</v>
      </c>
      <c r="E78" s="212">
        <f t="shared" si="6"/>
        <v>227749.59999999998</v>
      </c>
      <c r="F78" s="212">
        <f t="shared" si="7"/>
        <v>557821.99</v>
      </c>
      <c r="G78" s="304">
        <f t="shared" si="8"/>
        <v>1538985.58</v>
      </c>
      <c r="H78" s="85"/>
      <c r="N78" s="760"/>
      <c r="O78" s="211"/>
      <c r="P78" s="211"/>
      <c r="Q78" s="211"/>
      <c r="R78" s="211"/>
      <c r="S78" s="211"/>
      <c r="T78" s="211"/>
    </row>
    <row r="79" spans="1:20">
      <c r="A79" s="149" t="s">
        <v>108</v>
      </c>
      <c r="B79" s="211">
        <f t="shared" si="4"/>
        <v>8875027.4900000002</v>
      </c>
      <c r="C79" s="211"/>
      <c r="D79" s="211">
        <f t="shared" si="5"/>
        <v>2060790.48</v>
      </c>
      <c r="E79" s="211">
        <f t="shared" si="6"/>
        <v>6536413.5199999996</v>
      </c>
      <c r="F79" s="211">
        <f t="shared" si="7"/>
        <v>9943783.3000000007</v>
      </c>
      <c r="G79" s="304">
        <f t="shared" si="8"/>
        <v>27416014.789999999</v>
      </c>
      <c r="H79" s="85"/>
      <c r="N79" s="224"/>
      <c r="O79" s="211"/>
      <c r="P79" s="211"/>
      <c r="Q79" s="211"/>
      <c r="R79" s="211"/>
      <c r="S79" s="211"/>
      <c r="T79" s="211"/>
    </row>
    <row r="80" spans="1:20" ht="15.75" thickBot="1">
      <c r="A80" s="208" t="s">
        <v>109</v>
      </c>
      <c r="B80" s="209"/>
      <c r="C80" s="158"/>
      <c r="D80" s="158"/>
      <c r="E80" s="158"/>
      <c r="F80" s="158"/>
      <c r="G80" s="213">
        <f>SUM(G64:G79)</f>
        <v>71892425.210000008</v>
      </c>
      <c r="H80" s="85"/>
      <c r="I80" s="2"/>
      <c r="N80" s="224"/>
      <c r="O80" s="97"/>
      <c r="P80" s="104"/>
      <c r="Q80" s="97"/>
      <c r="R80" s="97"/>
      <c r="S80" s="97"/>
      <c r="T80" s="761"/>
    </row>
    <row r="81" spans="1:6" ht="15.75" thickTop="1"/>
    <row r="91" spans="1:6">
      <c r="A91" s="104"/>
      <c r="B91" s="214"/>
      <c r="C91" s="214"/>
      <c r="D91" s="214"/>
      <c r="E91" s="214"/>
      <c r="F91" s="214"/>
    </row>
    <row r="92" spans="1:6">
      <c r="A92" s="214"/>
      <c r="B92" s="749"/>
      <c r="C92" s="749"/>
      <c r="D92" s="749"/>
      <c r="E92" s="749"/>
      <c r="F92" s="214"/>
    </row>
    <row r="93" spans="1:6">
      <c r="A93" s="750"/>
      <c r="B93" s="751"/>
      <c r="C93" s="751"/>
      <c r="D93" s="751"/>
      <c r="E93" s="751"/>
      <c r="F93" s="752"/>
    </row>
    <row r="94" spans="1:6">
      <c r="A94" s="753"/>
      <c r="B94" s="754"/>
      <c r="C94" s="754"/>
      <c r="D94" s="754"/>
      <c r="E94" s="754"/>
      <c r="F94" s="755"/>
    </row>
    <row r="95" spans="1:6">
      <c r="A95" s="753"/>
      <c r="B95" s="754"/>
      <c r="C95" s="754"/>
      <c r="D95" s="754"/>
      <c r="E95" s="754"/>
      <c r="F95" s="755"/>
    </row>
    <row r="96" spans="1:6">
      <c r="A96" s="753"/>
      <c r="B96" s="754"/>
      <c r="C96" s="754"/>
      <c r="D96" s="754"/>
      <c r="E96" s="754"/>
      <c r="F96" s="755"/>
    </row>
    <row r="97" spans="1:6">
      <c r="A97" s="753"/>
      <c r="B97" s="754"/>
      <c r="C97" s="754"/>
      <c r="D97" s="754"/>
      <c r="E97" s="754"/>
      <c r="F97" s="755"/>
    </row>
    <row r="98" spans="1:6">
      <c r="A98" s="753"/>
      <c r="B98" s="754"/>
      <c r="C98" s="754"/>
      <c r="D98" s="754"/>
      <c r="E98" s="754"/>
      <c r="F98" s="755"/>
    </row>
    <row r="99" spans="1:6">
      <c r="A99" s="753"/>
      <c r="B99" s="754"/>
      <c r="C99" s="754"/>
      <c r="D99" s="754"/>
      <c r="E99" s="754"/>
      <c r="F99" s="755"/>
    </row>
    <row r="100" spans="1:6">
      <c r="A100" s="753"/>
      <c r="B100" s="754"/>
      <c r="C100" s="754"/>
      <c r="D100" s="754"/>
      <c r="E100" s="754"/>
      <c r="F100" s="755"/>
    </row>
    <row r="101" spans="1:6">
      <c r="A101" s="753"/>
      <c r="B101" s="754"/>
      <c r="C101" s="754"/>
      <c r="D101" s="754"/>
      <c r="E101" s="754"/>
      <c r="F101" s="755"/>
    </row>
    <row r="102" spans="1:6">
      <c r="A102" s="753"/>
      <c r="B102" s="754"/>
      <c r="C102" s="754"/>
      <c r="D102" s="754"/>
      <c r="E102" s="754"/>
      <c r="F102" s="755"/>
    </row>
    <row r="103" spans="1:6">
      <c r="A103" s="753"/>
      <c r="B103" s="754"/>
      <c r="C103" s="754"/>
      <c r="D103" s="754"/>
      <c r="E103" s="754"/>
      <c r="F103" s="755"/>
    </row>
    <row r="104" spans="1:6">
      <c r="A104" s="753"/>
      <c r="B104" s="754"/>
      <c r="C104" s="754"/>
      <c r="D104" s="754"/>
      <c r="E104" s="754"/>
      <c r="F104" s="755"/>
    </row>
    <row r="105" spans="1:6">
      <c r="A105" s="753"/>
      <c r="B105" s="754"/>
      <c r="C105" s="754"/>
      <c r="D105" s="754"/>
      <c r="E105" s="754"/>
      <c r="F105" s="755"/>
    </row>
    <row r="106" spans="1:6">
      <c r="A106" s="753"/>
      <c r="B106" s="754"/>
      <c r="C106" s="754"/>
      <c r="D106" s="754"/>
      <c r="E106" s="754"/>
      <c r="F106" s="755"/>
    </row>
    <row r="107" spans="1:6">
      <c r="A107" s="753"/>
      <c r="B107" s="754"/>
      <c r="C107" s="754"/>
      <c r="D107" s="754"/>
      <c r="E107" s="754"/>
      <c r="F107" s="755"/>
    </row>
    <row r="108" spans="1:6">
      <c r="A108" s="753"/>
      <c r="B108" s="754"/>
      <c r="C108" s="754"/>
      <c r="D108" s="754"/>
      <c r="E108" s="754"/>
      <c r="F108" s="755"/>
    </row>
    <row r="109" spans="1:6">
      <c r="A109" s="753"/>
      <c r="B109" s="754"/>
      <c r="C109" s="754"/>
      <c r="D109" s="754"/>
      <c r="E109" s="754"/>
      <c r="F109" s="755"/>
    </row>
    <row r="110" spans="1:6">
      <c r="A110" s="753"/>
      <c r="B110" s="756"/>
      <c r="C110" s="756"/>
      <c r="D110" s="756"/>
      <c r="E110" s="756"/>
      <c r="F110" s="755"/>
    </row>
    <row r="115" spans="1:6">
      <c r="A115" s="104"/>
      <c r="B115" s="214"/>
      <c r="C115" s="214"/>
      <c r="D115" s="214"/>
      <c r="E115" s="214"/>
      <c r="F115" s="214"/>
    </row>
    <row r="116" spans="1:6">
      <c r="A116" s="214"/>
      <c r="B116" s="749"/>
      <c r="C116" s="749"/>
      <c r="D116" s="749"/>
      <c r="E116" s="749"/>
      <c r="F116" s="214"/>
    </row>
    <row r="117" spans="1:6">
      <c r="A117" s="757"/>
      <c r="B117" s="758"/>
      <c r="C117" s="758"/>
      <c r="D117" s="758"/>
      <c r="E117" s="758"/>
      <c r="F117" s="759"/>
    </row>
    <row r="118" spans="1:6">
      <c r="A118" s="224"/>
      <c r="B118" s="204"/>
      <c r="C118" s="204"/>
      <c r="D118" s="204"/>
      <c r="E118" s="204"/>
      <c r="F118" s="93"/>
    </row>
    <row r="119" spans="1:6">
      <c r="A119" s="224"/>
      <c r="B119" s="204"/>
      <c r="C119" s="204"/>
      <c r="D119" s="204"/>
      <c r="E119" s="204"/>
      <c r="F119" s="93"/>
    </row>
    <row r="120" spans="1:6">
      <c r="A120" s="224"/>
      <c r="B120" s="204"/>
      <c r="C120" s="204"/>
      <c r="D120" s="204"/>
      <c r="E120" s="204"/>
      <c r="F120" s="93"/>
    </row>
    <row r="121" spans="1:6">
      <c r="A121" s="224"/>
      <c r="B121" s="204"/>
      <c r="C121" s="204"/>
      <c r="D121" s="204"/>
      <c r="E121" s="204"/>
      <c r="F121" s="93"/>
    </row>
    <row r="122" spans="1:6">
      <c r="A122" s="224"/>
      <c r="B122" s="204"/>
      <c r="C122" s="204"/>
      <c r="D122" s="204"/>
      <c r="E122" s="204"/>
      <c r="F122" s="93"/>
    </row>
    <row r="123" spans="1:6">
      <c r="A123" s="224"/>
      <c r="B123" s="204"/>
      <c r="C123" s="204"/>
      <c r="D123" s="204"/>
      <c r="E123" s="204"/>
      <c r="F123" s="93"/>
    </row>
    <row r="124" spans="1:6">
      <c r="A124" s="224"/>
      <c r="B124" s="204"/>
      <c r="C124" s="204"/>
      <c r="D124" s="204"/>
      <c r="E124" s="204"/>
      <c r="F124" s="93"/>
    </row>
    <row r="125" spans="1:6">
      <c r="A125" s="224"/>
      <c r="B125" s="204"/>
      <c r="C125" s="204"/>
      <c r="D125" s="204"/>
      <c r="E125" s="204"/>
      <c r="F125" s="93"/>
    </row>
    <row r="126" spans="1:6">
      <c r="A126" s="224"/>
      <c r="B126" s="204"/>
      <c r="C126" s="204"/>
      <c r="D126" s="204"/>
      <c r="E126" s="204"/>
      <c r="F126" s="93"/>
    </row>
    <row r="127" spans="1:6">
      <c r="A127" s="224"/>
      <c r="B127" s="204"/>
      <c r="C127" s="204"/>
      <c r="D127" s="204"/>
      <c r="E127" s="204"/>
      <c r="F127" s="93"/>
    </row>
    <row r="128" spans="1:6">
      <c r="A128" s="224"/>
      <c r="B128" s="204"/>
      <c r="C128" s="204"/>
      <c r="D128" s="204"/>
      <c r="E128" s="204"/>
      <c r="F128" s="93"/>
    </row>
    <row r="129" spans="1:6">
      <c r="A129" s="224"/>
      <c r="B129" s="204"/>
      <c r="C129" s="204"/>
      <c r="D129" s="204"/>
      <c r="E129" s="204"/>
      <c r="F129" s="93"/>
    </row>
    <row r="130" spans="1:6">
      <c r="A130" s="224"/>
      <c r="B130" s="204"/>
      <c r="C130" s="204"/>
      <c r="D130" s="204"/>
      <c r="E130" s="204"/>
      <c r="F130" s="93"/>
    </row>
    <row r="131" spans="1:6">
      <c r="A131" s="224"/>
      <c r="B131" s="204"/>
      <c r="C131" s="204"/>
      <c r="D131" s="204"/>
      <c r="E131" s="204"/>
      <c r="F131" s="93"/>
    </row>
    <row r="132" spans="1:6">
      <c r="A132" s="224"/>
      <c r="B132" s="204"/>
      <c r="C132" s="204"/>
      <c r="D132" s="204"/>
      <c r="E132" s="204"/>
      <c r="F132" s="93"/>
    </row>
    <row r="133" spans="1:6">
      <c r="A133" s="224"/>
      <c r="B133" s="204"/>
      <c r="C133" s="204"/>
      <c r="D133" s="204"/>
      <c r="E133" s="204"/>
      <c r="F133" s="93"/>
    </row>
    <row r="134" spans="1:6">
      <c r="A134" s="224"/>
      <c r="B134" s="760"/>
      <c r="C134" s="760"/>
      <c r="D134" s="760"/>
      <c r="E134" s="760"/>
      <c r="F134" s="97"/>
    </row>
  </sheetData>
  <pageMargins left="0.7" right="0.7" top="0.75" bottom="0.75" header="0.3" footer="0.3"/>
  <pageSetup paperSize="9" scale="76" orientation="portrait" r:id="rId1"/>
  <rowBreaks count="1" manualBreakCount="1">
    <brk id="4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I193"/>
  <sheetViews>
    <sheetView zoomScale="90" zoomScaleNormal="90" zoomScalePageLayoutView="91" workbookViewId="0">
      <selection activeCell="O20" sqref="O20"/>
    </sheetView>
  </sheetViews>
  <sheetFormatPr defaultRowHeight="15"/>
  <cols>
    <col min="1" max="1" width="16" customWidth="1"/>
    <col min="2" max="2" width="9.77734375" customWidth="1"/>
    <col min="3" max="3" width="10.44140625" customWidth="1"/>
    <col min="4" max="4" width="9.77734375" customWidth="1"/>
    <col min="5" max="5" width="11.6640625" customWidth="1"/>
    <col min="6" max="6" width="13" customWidth="1"/>
    <col min="7" max="7" width="10.6640625" customWidth="1"/>
    <col min="8" max="8" width="10.5546875" customWidth="1"/>
    <col min="9" max="9" width="9.77734375" customWidth="1"/>
    <col min="10" max="11" width="12.5546875" customWidth="1"/>
    <col min="12" max="12" width="10.77734375" customWidth="1"/>
    <col min="13" max="13" width="9.88671875" bestFit="1" customWidth="1"/>
    <col min="14" max="14" width="13.109375" customWidth="1"/>
    <col min="15" max="15" width="10" customWidth="1"/>
    <col min="17" max="17" width="12.109375" customWidth="1"/>
    <col min="19" max="19" width="10" customWidth="1"/>
    <col min="21" max="21" width="10.5546875" customWidth="1"/>
    <col min="23" max="23" width="10.5546875" customWidth="1"/>
    <col min="24" max="24" width="11.88671875" customWidth="1"/>
  </cols>
  <sheetData>
    <row r="1" spans="1:269" ht="15.75">
      <c r="A1" s="11" t="s">
        <v>572</v>
      </c>
    </row>
    <row r="2" spans="1:269" ht="15.75">
      <c r="A2" s="3" t="s">
        <v>573</v>
      </c>
    </row>
    <row r="3" spans="1:269" ht="15.75">
      <c r="A3" s="3"/>
      <c r="B3" s="79"/>
    </row>
    <row r="4" spans="1:269">
      <c r="A4" s="53" t="s">
        <v>574</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c r="IW4" s="214"/>
      <c r="IX4" s="214"/>
      <c r="IY4" s="214"/>
      <c r="IZ4" s="214"/>
      <c r="JA4" s="214"/>
      <c r="JB4" s="214"/>
      <c r="JC4" s="214"/>
      <c r="JD4" s="214"/>
      <c r="JE4" s="214"/>
      <c r="JF4" s="214"/>
      <c r="JG4" s="214"/>
      <c r="JH4" s="214"/>
      <c r="JI4" s="214"/>
    </row>
    <row r="5" spans="1:269">
      <c r="A5" s="214"/>
      <c r="B5" s="214"/>
      <c r="C5" s="85"/>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c r="IW5" s="214"/>
      <c r="IX5" s="214"/>
      <c r="IY5" s="214"/>
      <c r="IZ5" s="214"/>
      <c r="JA5" s="214"/>
      <c r="JB5" s="214"/>
      <c r="JC5" s="214"/>
      <c r="JD5" s="214"/>
      <c r="JE5" s="214"/>
      <c r="JF5" s="214"/>
      <c r="JG5" s="214"/>
      <c r="JH5" s="214"/>
      <c r="JI5" s="214"/>
    </row>
    <row r="6" spans="1:269">
      <c r="A6" s="215"/>
      <c r="B6" s="103">
        <v>2025</v>
      </c>
      <c r="C6" s="85"/>
      <c r="D6" s="85"/>
      <c r="E6" s="104"/>
      <c r="F6" s="10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4"/>
      <c r="IJ6" s="214"/>
      <c r="IK6" s="214"/>
      <c r="IL6" s="214"/>
      <c r="IM6" s="214"/>
      <c r="IN6" s="214"/>
      <c r="IO6" s="214"/>
      <c r="IP6" s="214"/>
      <c r="IQ6" s="214"/>
      <c r="IR6" s="214"/>
      <c r="IS6" s="214"/>
      <c r="IT6" s="214"/>
      <c r="IU6" s="214"/>
      <c r="IV6" s="214"/>
      <c r="IW6" s="214"/>
      <c r="IX6" s="214"/>
      <c r="IY6" s="214"/>
      <c r="IZ6" s="214"/>
      <c r="JA6" s="214"/>
      <c r="JB6" s="214"/>
      <c r="JC6" s="214"/>
      <c r="JD6" s="214"/>
      <c r="JE6" s="214"/>
      <c r="JF6" s="214"/>
      <c r="JG6" s="214"/>
      <c r="JH6" s="214"/>
      <c r="JI6" s="214"/>
    </row>
    <row r="7" spans="1:269" ht="15.75">
      <c r="A7" s="149" t="s">
        <v>28</v>
      </c>
      <c r="B7" s="216">
        <f>Basbelopp!AK125</f>
        <v>1125.48</v>
      </c>
      <c r="C7" s="85"/>
      <c r="D7" s="85"/>
      <c r="E7" s="85"/>
      <c r="F7" s="214"/>
      <c r="G7" s="214"/>
      <c r="H7" s="799" t="s">
        <v>575</v>
      </c>
      <c r="I7" s="800"/>
      <c r="J7" s="800"/>
      <c r="K7" s="800"/>
      <c r="L7" s="800"/>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c r="IT7" s="214"/>
      <c r="IU7" s="214"/>
      <c r="IV7" s="214"/>
      <c r="IW7" s="214"/>
      <c r="IX7" s="214"/>
      <c r="IY7" s="214"/>
      <c r="IZ7" s="214"/>
      <c r="JA7" s="214"/>
      <c r="JB7" s="214"/>
      <c r="JC7" s="214"/>
      <c r="JD7" s="214"/>
      <c r="JE7" s="214"/>
      <c r="JF7" s="214"/>
      <c r="JG7" s="214"/>
      <c r="JH7" s="214"/>
      <c r="JI7" s="214"/>
    </row>
    <row r="8" spans="1:269">
      <c r="A8" s="149" t="s">
        <v>538</v>
      </c>
      <c r="B8" s="217">
        <v>0.128</v>
      </c>
      <c r="C8" s="217"/>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row>
    <row r="9" spans="1:269">
      <c r="A9" s="214"/>
      <c r="B9" s="214"/>
      <c r="C9" s="214"/>
      <c r="D9" s="214"/>
      <c r="E9" s="214"/>
      <c r="F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c r="IT9" s="214"/>
      <c r="IU9" s="214"/>
      <c r="IV9" s="214"/>
      <c r="IW9" s="214"/>
      <c r="IX9" s="214"/>
      <c r="IY9" s="214"/>
      <c r="IZ9" s="214"/>
      <c r="JA9" s="214"/>
      <c r="JB9" s="214"/>
      <c r="JC9" s="214"/>
      <c r="JD9" s="214"/>
      <c r="JE9" s="214"/>
      <c r="JF9" s="214"/>
      <c r="JG9" s="214"/>
      <c r="JH9" s="214"/>
      <c r="JI9" s="214"/>
    </row>
    <row r="10" spans="1:269" ht="15.75">
      <c r="A10" s="104" t="s">
        <v>4</v>
      </c>
      <c r="B10" s="104"/>
      <c r="C10" s="214"/>
      <c r="D10" s="104"/>
      <c r="E10" s="214"/>
      <c r="F10" s="214"/>
      <c r="H10" s="104" t="s">
        <v>4</v>
      </c>
      <c r="I10" s="104"/>
      <c r="J10" s="214"/>
      <c r="K10" s="104"/>
      <c r="L10" s="214"/>
      <c r="M10" s="214"/>
      <c r="N10" s="291"/>
      <c r="O10" s="291"/>
      <c r="P10" s="291"/>
      <c r="Q10" s="291"/>
      <c r="R10" s="291"/>
      <c r="S10" s="291"/>
      <c r="T10" s="291"/>
      <c r="U10" s="291"/>
      <c r="V10" s="291"/>
      <c r="W10" s="291"/>
      <c r="X10" s="291"/>
      <c r="Y10" s="291"/>
      <c r="Z10" s="291"/>
      <c r="AA10" s="291"/>
      <c r="AB10" s="291"/>
      <c r="AC10" s="291"/>
      <c r="AD10" s="29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c r="IW10" s="214"/>
      <c r="IX10" s="214"/>
      <c r="IY10" s="214"/>
      <c r="IZ10" s="214"/>
      <c r="JA10" s="214"/>
      <c r="JB10" s="214"/>
      <c r="JC10" s="214"/>
      <c r="JD10" s="214"/>
      <c r="JE10" s="214"/>
      <c r="JF10" s="214"/>
      <c r="JG10" s="214"/>
      <c r="JH10" s="214"/>
      <c r="JI10" s="214"/>
    </row>
    <row r="11" spans="1:269" ht="30" customHeight="1">
      <c r="A11" s="190" t="str">
        <f>Invånare!A26</f>
        <v>2024-01-01</v>
      </c>
      <c r="B11" s="218" t="s">
        <v>576</v>
      </c>
      <c r="C11" s="403" t="s">
        <v>577</v>
      </c>
      <c r="D11" s="218" t="s">
        <v>578</v>
      </c>
      <c r="E11" s="219" t="s">
        <v>539</v>
      </c>
      <c r="F11" s="214"/>
      <c r="H11" s="745">
        <v>44927</v>
      </c>
      <c r="I11" s="218" t="s">
        <v>576</v>
      </c>
      <c r="J11" s="403" t="s">
        <v>577</v>
      </c>
      <c r="K11" s="219" t="s">
        <v>539</v>
      </c>
      <c r="M11" s="214"/>
      <c r="N11" s="291"/>
      <c r="O11" s="291"/>
      <c r="P11" s="291"/>
      <c r="Q11" s="291"/>
      <c r="R11" s="291"/>
      <c r="S11" s="291"/>
      <c r="T11" s="291"/>
      <c r="U11" s="291"/>
      <c r="V11" s="291"/>
      <c r="W11" s="291"/>
      <c r="X11" s="291"/>
      <c r="Y11" s="291"/>
      <c r="Z11" s="291"/>
      <c r="AA11" s="291"/>
      <c r="AB11" s="291"/>
      <c r="AC11" s="291"/>
      <c r="AD11" s="291"/>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c r="IZ11" s="214"/>
      <c r="JA11" s="214"/>
      <c r="JB11" s="214"/>
      <c r="JC11" s="214"/>
      <c r="JD11" s="214"/>
      <c r="JE11" s="214"/>
      <c r="JF11" s="214"/>
      <c r="JG11" s="214"/>
      <c r="JH11" s="214"/>
      <c r="JI11" s="214"/>
    </row>
    <row r="12" spans="1:269" ht="15.75">
      <c r="A12" s="149" t="s">
        <v>93</v>
      </c>
      <c r="B12" s="152">
        <f>Invånare!B6</f>
        <v>436</v>
      </c>
      <c r="C12" s="152">
        <f>B12*$B$7</f>
        <v>490709.28</v>
      </c>
      <c r="D12" s="220">
        <f t="shared" ref="D12:D27" si="0">B12/$B$28</f>
        <v>1.4275891424642284E-2</v>
      </c>
      <c r="E12" s="113">
        <f t="shared" ref="E12:E27" si="1">$B$7*$B$8*B12</f>
        <v>62810.787840000005</v>
      </c>
      <c r="F12" s="214"/>
      <c r="H12" s="149" t="s">
        <v>93</v>
      </c>
      <c r="I12" s="486">
        <v>450</v>
      </c>
      <c r="J12" s="152"/>
      <c r="K12" s="742">
        <v>63445</v>
      </c>
      <c r="M12" s="214"/>
      <c r="N12" s="291"/>
      <c r="O12" s="291"/>
      <c r="P12" s="291"/>
      <c r="Q12" s="291"/>
      <c r="R12" s="291"/>
      <c r="S12" s="291"/>
      <c r="T12" s="291"/>
      <c r="U12" s="291"/>
      <c r="V12" s="291"/>
      <c r="W12" s="291"/>
      <c r="X12" s="291"/>
      <c r="Y12" s="291"/>
      <c r="Z12" s="291"/>
      <c r="AA12" s="291"/>
      <c r="AB12" s="291"/>
      <c r="AC12" s="291"/>
      <c r="AD12" s="291"/>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c r="IW12" s="214"/>
      <c r="IX12" s="214"/>
      <c r="IY12" s="214"/>
      <c r="IZ12" s="214"/>
      <c r="JA12" s="214"/>
      <c r="JB12" s="214"/>
      <c r="JC12" s="214"/>
      <c r="JD12" s="214"/>
      <c r="JE12" s="214"/>
      <c r="JF12" s="214"/>
      <c r="JG12" s="214"/>
      <c r="JH12" s="214"/>
      <c r="JI12" s="214"/>
    </row>
    <row r="13" spans="1:269" ht="15.75">
      <c r="A13" s="149" t="s">
        <v>94</v>
      </c>
      <c r="B13" s="152">
        <f>Invånare!B7</f>
        <v>942</v>
      </c>
      <c r="C13" s="152">
        <f t="shared" ref="C13:C27" si="2">B13*$B$7</f>
        <v>1060202.1599999999</v>
      </c>
      <c r="D13" s="220">
        <f t="shared" si="0"/>
        <v>3.0843783766084935E-2</v>
      </c>
      <c r="E13" s="113">
        <f t="shared" si="1"/>
        <v>135705.87648000001</v>
      </c>
      <c r="F13" s="214"/>
      <c r="H13" s="149" t="s">
        <v>94</v>
      </c>
      <c r="I13" s="486">
        <v>939</v>
      </c>
      <c r="J13" s="152"/>
      <c r="K13" s="742">
        <v>132388</v>
      </c>
      <c r="M13" s="214"/>
      <c r="N13" s="291"/>
      <c r="O13" s="291"/>
      <c r="P13" s="291"/>
      <c r="Q13" s="291"/>
      <c r="R13" s="291"/>
      <c r="S13" s="291"/>
      <c r="T13" s="291"/>
      <c r="U13" s="291"/>
      <c r="V13" s="291"/>
      <c r="W13" s="291"/>
      <c r="X13" s="291"/>
      <c r="Y13" s="291"/>
      <c r="Z13" s="291"/>
      <c r="AA13" s="291"/>
      <c r="AB13" s="291"/>
      <c r="AC13" s="291"/>
      <c r="AD13" s="291"/>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c r="IW13" s="214"/>
      <c r="IX13" s="214"/>
      <c r="IY13" s="214"/>
      <c r="IZ13" s="214"/>
      <c r="JA13" s="214"/>
      <c r="JB13" s="214"/>
      <c r="JC13" s="214"/>
      <c r="JD13" s="214"/>
      <c r="JE13" s="214"/>
      <c r="JF13" s="214"/>
      <c r="JG13" s="214"/>
      <c r="JH13" s="214"/>
      <c r="JI13" s="214"/>
    </row>
    <row r="14" spans="1:269" ht="15.75">
      <c r="A14" s="149" t="s">
        <v>95</v>
      </c>
      <c r="B14" s="152">
        <f>Invånare!B8</f>
        <v>2610</v>
      </c>
      <c r="C14" s="152">
        <f t="shared" si="2"/>
        <v>2937502.8000000003</v>
      </c>
      <c r="D14" s="220">
        <f t="shared" si="0"/>
        <v>8.5458891326413669E-2</v>
      </c>
      <c r="E14" s="113">
        <f t="shared" si="1"/>
        <v>376000.35840000003</v>
      </c>
      <c r="F14" s="214"/>
      <c r="H14" s="149" t="s">
        <v>95</v>
      </c>
      <c r="I14" s="736">
        <v>2588</v>
      </c>
      <c r="J14" s="152"/>
      <c r="K14" s="742">
        <v>364877</v>
      </c>
      <c r="M14" s="214"/>
      <c r="N14" s="291"/>
      <c r="O14" s="291"/>
      <c r="P14" s="291"/>
      <c r="Q14" s="291"/>
      <c r="R14" s="291"/>
      <c r="S14" s="291"/>
      <c r="T14" s="291"/>
      <c r="U14" s="291"/>
      <c r="V14" s="291"/>
      <c r="W14" s="291"/>
      <c r="X14" s="291"/>
      <c r="Y14" s="291"/>
      <c r="Z14" s="291"/>
      <c r="AA14" s="291"/>
      <c r="AB14" s="291"/>
      <c r="AC14" s="291"/>
      <c r="AD14" s="291"/>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c r="IW14" s="214"/>
      <c r="IX14" s="214"/>
      <c r="IY14" s="214"/>
      <c r="IZ14" s="214"/>
      <c r="JA14" s="214"/>
      <c r="JB14" s="214"/>
      <c r="JC14" s="214"/>
      <c r="JD14" s="214"/>
      <c r="JE14" s="214"/>
      <c r="JF14" s="214"/>
      <c r="JG14" s="214"/>
      <c r="JH14" s="214"/>
      <c r="JI14" s="214"/>
    </row>
    <row r="15" spans="1:269" ht="15.75">
      <c r="A15" s="149" t="s">
        <v>96</v>
      </c>
      <c r="B15" s="152">
        <f>Invånare!B9</f>
        <v>509</v>
      </c>
      <c r="C15" s="152">
        <f t="shared" si="2"/>
        <v>572869.32000000007</v>
      </c>
      <c r="D15" s="220">
        <f t="shared" si="0"/>
        <v>1.6666120952162668E-2</v>
      </c>
      <c r="E15" s="113">
        <f t="shared" si="1"/>
        <v>73327.272960000002</v>
      </c>
      <c r="F15" s="214"/>
      <c r="H15" s="149" t="s">
        <v>96</v>
      </c>
      <c r="I15" s="486">
        <v>504</v>
      </c>
      <c r="J15" s="152"/>
      <c r="K15" s="742">
        <v>71058</v>
      </c>
      <c r="M15" s="214"/>
      <c r="N15" s="291"/>
      <c r="O15" s="291"/>
      <c r="P15" s="291"/>
      <c r="Q15" s="291"/>
      <c r="R15" s="291"/>
      <c r="S15" s="291"/>
      <c r="T15" s="291"/>
      <c r="U15" s="291"/>
      <c r="V15" s="291"/>
      <c r="W15" s="291"/>
      <c r="X15" s="291"/>
      <c r="Y15" s="291"/>
      <c r="Z15" s="291"/>
      <c r="AA15" s="291"/>
      <c r="AB15" s="291"/>
      <c r="AC15" s="291"/>
      <c r="AD15" s="291"/>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c r="IW15" s="214"/>
      <c r="IX15" s="214"/>
      <c r="IY15" s="214"/>
      <c r="IZ15" s="214"/>
      <c r="JA15" s="214"/>
      <c r="JB15" s="214"/>
      <c r="JC15" s="214"/>
      <c r="JD15" s="214"/>
      <c r="JE15" s="214"/>
      <c r="JF15" s="214"/>
      <c r="JG15" s="214"/>
      <c r="JH15" s="214"/>
      <c r="JI15" s="214"/>
    </row>
    <row r="16" spans="1:269" ht="15.75">
      <c r="A16" s="149" t="s">
        <v>97</v>
      </c>
      <c r="B16" s="152">
        <f>Invånare!B10</f>
        <v>509</v>
      </c>
      <c r="C16" s="152">
        <f t="shared" si="2"/>
        <v>572869.32000000007</v>
      </c>
      <c r="D16" s="220">
        <f t="shared" si="0"/>
        <v>1.6666120952162668E-2</v>
      </c>
      <c r="E16" s="113">
        <f t="shared" si="1"/>
        <v>73327.272960000002</v>
      </c>
      <c r="F16" s="214"/>
      <c r="H16" s="149" t="s">
        <v>97</v>
      </c>
      <c r="I16" s="486">
        <v>507</v>
      </c>
      <c r="J16" s="152"/>
      <c r="K16" s="742">
        <v>71481</v>
      </c>
      <c r="M16" s="214"/>
      <c r="N16" s="291"/>
      <c r="O16" s="291"/>
      <c r="P16" s="291"/>
      <c r="Q16" s="291"/>
      <c r="R16" s="291"/>
      <c r="S16" s="291"/>
      <c r="T16" s="291"/>
      <c r="U16" s="291"/>
      <c r="V16" s="291"/>
      <c r="W16" s="291"/>
      <c r="X16" s="291"/>
      <c r="Y16" s="291"/>
      <c r="Z16" s="291"/>
      <c r="AA16" s="291"/>
      <c r="AB16" s="291"/>
      <c r="AC16" s="291"/>
      <c r="AD16" s="291"/>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c r="IW16" s="214"/>
      <c r="IX16" s="214"/>
      <c r="IY16" s="214"/>
      <c r="IZ16" s="214"/>
      <c r="JA16" s="214"/>
      <c r="JB16" s="214"/>
      <c r="JC16" s="214"/>
      <c r="JD16" s="214"/>
      <c r="JE16" s="214"/>
      <c r="JF16" s="214"/>
      <c r="JG16" s="214"/>
      <c r="JH16" s="214"/>
      <c r="JI16" s="214"/>
    </row>
    <row r="17" spans="1:269" ht="15.75">
      <c r="A17" s="149" t="s">
        <v>98</v>
      </c>
      <c r="B17" s="152">
        <f>Invånare!B11</f>
        <v>1646</v>
      </c>
      <c r="C17" s="152">
        <f t="shared" si="2"/>
        <v>1852540.08</v>
      </c>
      <c r="D17" s="220">
        <f t="shared" si="0"/>
        <v>5.3894764415048625E-2</v>
      </c>
      <c r="E17" s="113">
        <f t="shared" si="1"/>
        <v>237125.13024</v>
      </c>
      <c r="F17" s="214"/>
      <c r="H17" s="149" t="s">
        <v>98</v>
      </c>
      <c r="I17" s="736">
        <v>1628</v>
      </c>
      <c r="J17" s="152"/>
      <c r="K17" s="742">
        <v>229528</v>
      </c>
      <c r="M17" s="214"/>
      <c r="N17" s="291"/>
      <c r="O17" s="291"/>
      <c r="P17" s="291"/>
      <c r="Q17" s="291"/>
      <c r="R17" s="291"/>
      <c r="S17" s="291"/>
      <c r="T17" s="291"/>
      <c r="U17" s="291"/>
      <c r="V17" s="291"/>
      <c r="W17" s="291"/>
      <c r="X17" s="291"/>
      <c r="Y17" s="291"/>
      <c r="Z17" s="291"/>
      <c r="AA17" s="291"/>
      <c r="AB17" s="291"/>
      <c r="AC17" s="291"/>
      <c r="AD17" s="291"/>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c r="IW17" s="214"/>
      <c r="IX17" s="214"/>
      <c r="IY17" s="214"/>
      <c r="IZ17" s="214"/>
      <c r="JA17" s="214"/>
      <c r="JB17" s="214"/>
      <c r="JC17" s="214"/>
      <c r="JD17" s="214"/>
      <c r="JE17" s="214"/>
      <c r="JF17" s="214"/>
      <c r="JG17" s="214"/>
      <c r="JH17" s="214"/>
      <c r="JI17" s="214"/>
    </row>
    <row r="18" spans="1:269" ht="15.75">
      <c r="A18" s="149" t="s">
        <v>99</v>
      </c>
      <c r="B18" s="152">
        <f>Invånare!B12</f>
        <v>5697</v>
      </c>
      <c r="C18" s="152">
        <f t="shared" si="2"/>
        <v>6411859.5600000005</v>
      </c>
      <c r="D18" s="220">
        <f t="shared" si="0"/>
        <v>0.18653613175730985</v>
      </c>
      <c r="E18" s="113">
        <f t="shared" si="1"/>
        <v>820718.02367999998</v>
      </c>
      <c r="F18" s="214"/>
      <c r="H18" s="149" t="s">
        <v>99</v>
      </c>
      <c r="I18" s="736">
        <v>5610</v>
      </c>
      <c r="J18" s="152"/>
      <c r="K18" s="742">
        <v>790942</v>
      </c>
      <c r="M18" s="214"/>
      <c r="N18" s="291"/>
      <c r="O18" s="291"/>
      <c r="P18" s="291"/>
      <c r="Q18" s="291"/>
      <c r="R18" s="291"/>
      <c r="S18" s="291"/>
      <c r="T18" s="291"/>
      <c r="U18" s="291"/>
      <c r="V18" s="291"/>
      <c r="W18" s="291"/>
      <c r="X18" s="291"/>
      <c r="Y18" s="291"/>
      <c r="Z18" s="291"/>
      <c r="AA18" s="291"/>
      <c r="AB18" s="291"/>
      <c r="AC18" s="291"/>
      <c r="AD18" s="291"/>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row>
    <row r="19" spans="1:269" ht="15.75">
      <c r="A19" s="149" t="s">
        <v>100</v>
      </c>
      <c r="B19" s="152">
        <f>Invånare!B13</f>
        <v>290</v>
      </c>
      <c r="C19" s="152">
        <f t="shared" si="2"/>
        <v>326389.2</v>
      </c>
      <c r="D19" s="220">
        <f t="shared" si="0"/>
        <v>9.4954323696015194E-3</v>
      </c>
      <c r="E19" s="113">
        <f t="shared" si="1"/>
        <v>41777.817600000002</v>
      </c>
      <c r="F19" s="214"/>
      <c r="H19" s="149" t="s">
        <v>100</v>
      </c>
      <c r="I19" s="486">
        <v>306</v>
      </c>
      <c r="J19" s="152"/>
      <c r="K19" s="742">
        <v>43142</v>
      </c>
      <c r="M19" s="214"/>
      <c r="N19" s="291"/>
      <c r="O19" s="291"/>
      <c r="P19" s="291"/>
      <c r="Q19" s="291"/>
      <c r="R19" s="291"/>
      <c r="S19" s="291"/>
      <c r="T19" s="291"/>
      <c r="U19" s="291"/>
      <c r="V19" s="291"/>
      <c r="W19" s="291"/>
      <c r="X19" s="291"/>
      <c r="Y19" s="291"/>
      <c r="Z19" s="291"/>
      <c r="AA19" s="291"/>
      <c r="AB19" s="291"/>
      <c r="AC19" s="291"/>
      <c r="AD19" s="291"/>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row>
    <row r="20" spans="1:269" ht="15.75">
      <c r="A20" s="149" t="s">
        <v>101</v>
      </c>
      <c r="B20" s="152">
        <f>Invånare!B14</f>
        <v>225</v>
      </c>
      <c r="C20" s="152">
        <f t="shared" si="2"/>
        <v>253233</v>
      </c>
      <c r="D20" s="220">
        <f t="shared" si="0"/>
        <v>7.3671458040011784E-3</v>
      </c>
      <c r="E20" s="113">
        <f t="shared" si="1"/>
        <v>32413.824000000001</v>
      </c>
      <c r="F20" s="214"/>
      <c r="H20" s="149" t="s">
        <v>101</v>
      </c>
      <c r="I20" s="486">
        <v>223</v>
      </c>
      <c r="J20" s="152"/>
      <c r="K20" s="742">
        <v>31440</v>
      </c>
      <c r="M20" s="214"/>
      <c r="N20" s="291"/>
      <c r="O20" s="291"/>
      <c r="P20" s="291"/>
      <c r="Q20" s="291"/>
      <c r="R20" s="291"/>
      <c r="S20" s="291"/>
      <c r="T20" s="291"/>
      <c r="U20" s="291"/>
      <c r="V20" s="291"/>
      <c r="W20" s="291"/>
      <c r="X20" s="291"/>
      <c r="Y20" s="291"/>
      <c r="Z20" s="291"/>
      <c r="AA20" s="291"/>
      <c r="AB20" s="291"/>
      <c r="AC20" s="291"/>
      <c r="AD20" s="291"/>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row>
    <row r="21" spans="1:269">
      <c r="A21" s="149" t="s">
        <v>102</v>
      </c>
      <c r="B21" s="152">
        <f>Invånare!B15</f>
        <v>2127</v>
      </c>
      <c r="C21" s="152">
        <f t="shared" si="2"/>
        <v>2393895.96</v>
      </c>
      <c r="D21" s="220">
        <f t="shared" si="0"/>
        <v>6.9644085000491143E-2</v>
      </c>
      <c r="E21" s="113">
        <f t="shared" si="1"/>
        <v>306418.68288000004</v>
      </c>
      <c r="F21" s="214"/>
      <c r="H21" s="149" t="s">
        <v>102</v>
      </c>
      <c r="I21" s="736">
        <v>2131</v>
      </c>
      <c r="J21" s="152"/>
      <c r="K21" s="742">
        <v>300445</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row>
    <row r="22" spans="1:269">
      <c r="A22" s="149" t="s">
        <v>103</v>
      </c>
      <c r="B22" s="152">
        <f>Invånare!B16</f>
        <v>366</v>
      </c>
      <c r="C22" s="152">
        <f t="shared" si="2"/>
        <v>411925.68</v>
      </c>
      <c r="D22" s="220">
        <f t="shared" si="0"/>
        <v>1.1983890507841917E-2</v>
      </c>
      <c r="E22" s="113">
        <f t="shared" si="1"/>
        <v>52726.48704</v>
      </c>
      <c r="F22" s="214"/>
      <c r="H22" s="149" t="s">
        <v>103</v>
      </c>
      <c r="I22" s="486">
        <v>360</v>
      </c>
      <c r="J22" s="152"/>
      <c r="K22" s="742">
        <v>50756</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c r="IZ22" s="214"/>
      <c r="JA22" s="214"/>
      <c r="JB22" s="214"/>
      <c r="JC22" s="214"/>
      <c r="JD22" s="214"/>
      <c r="JE22" s="214"/>
      <c r="JF22" s="214"/>
      <c r="JG22" s="214"/>
      <c r="JH22" s="214"/>
      <c r="JI22" s="214"/>
    </row>
    <row r="23" spans="1:269">
      <c r="A23" s="149" t="s">
        <v>104</v>
      </c>
      <c r="B23" s="152">
        <f>Invånare!B17</f>
        <v>1791</v>
      </c>
      <c r="C23" s="152">
        <f t="shared" si="2"/>
        <v>2015734.68</v>
      </c>
      <c r="D23" s="220">
        <f t="shared" si="0"/>
        <v>5.8642480599849382E-2</v>
      </c>
      <c r="E23" s="113">
        <f t="shared" si="1"/>
        <v>258014.03904</v>
      </c>
      <c r="F23" s="214"/>
      <c r="H23" s="149" t="s">
        <v>104</v>
      </c>
      <c r="I23" s="736">
        <v>1793</v>
      </c>
      <c r="J23" s="152"/>
      <c r="K23" s="742">
        <v>252791</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row>
    <row r="24" spans="1:269">
      <c r="A24" s="149" t="s">
        <v>105</v>
      </c>
      <c r="B24" s="152">
        <f>Invånare!B18</f>
        <v>115</v>
      </c>
      <c r="C24" s="152">
        <f t="shared" si="2"/>
        <v>129430.2</v>
      </c>
      <c r="D24" s="220">
        <f t="shared" si="0"/>
        <v>3.7654300776006023E-3</v>
      </c>
      <c r="E24" s="113">
        <f t="shared" si="1"/>
        <v>16567.065600000002</v>
      </c>
      <c r="F24" s="214"/>
      <c r="H24" s="149" t="s">
        <v>105</v>
      </c>
      <c r="I24" s="486">
        <v>111</v>
      </c>
      <c r="J24" s="152"/>
      <c r="K24" s="742">
        <v>15650</v>
      </c>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c r="IZ24" s="214"/>
      <c r="JA24" s="214"/>
      <c r="JB24" s="214"/>
      <c r="JC24" s="214"/>
      <c r="JD24" s="214"/>
      <c r="JE24" s="214"/>
      <c r="JF24" s="214"/>
      <c r="JG24" s="214"/>
      <c r="JH24" s="214"/>
      <c r="JI24" s="214"/>
    </row>
    <row r="25" spans="1:269">
      <c r="A25" s="149" t="s">
        <v>106</v>
      </c>
      <c r="B25" s="152">
        <f>Invånare!B19</f>
        <v>995</v>
      </c>
      <c r="C25" s="152">
        <f t="shared" si="2"/>
        <v>1119852.6000000001</v>
      </c>
      <c r="D25" s="220">
        <f t="shared" si="0"/>
        <v>3.2579155888805215E-2</v>
      </c>
      <c r="E25" s="113">
        <f t="shared" si="1"/>
        <v>143341.13279999999</v>
      </c>
      <c r="F25" s="214"/>
      <c r="H25" s="149" t="s">
        <v>106</v>
      </c>
      <c r="I25" s="736">
        <v>1001</v>
      </c>
      <c r="J25" s="152"/>
      <c r="K25" s="742">
        <v>141129</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c r="IZ25" s="214"/>
      <c r="JA25" s="214"/>
      <c r="JB25" s="214"/>
      <c r="JC25" s="214"/>
      <c r="JD25" s="214"/>
      <c r="JE25" s="214"/>
      <c r="JF25" s="214"/>
      <c r="JG25" s="214"/>
      <c r="JH25" s="214"/>
      <c r="JI25" s="214"/>
    </row>
    <row r="26" spans="1:269">
      <c r="A26" s="149" t="s">
        <v>107</v>
      </c>
      <c r="B26" s="152">
        <f>Invånare!B20</f>
        <v>471</v>
      </c>
      <c r="C26" s="152">
        <f t="shared" si="2"/>
        <v>530101.07999999996</v>
      </c>
      <c r="D26" s="220">
        <f t="shared" si="0"/>
        <v>1.5421891883042467E-2</v>
      </c>
      <c r="E26" s="113">
        <f t="shared" si="1"/>
        <v>67852.938240000003</v>
      </c>
      <c r="F26" s="214"/>
      <c r="H26" s="149" t="s">
        <v>107</v>
      </c>
      <c r="I26" s="486">
        <v>451</v>
      </c>
      <c r="J26" s="152"/>
      <c r="K26" s="742">
        <v>63586</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c r="IZ26" s="214"/>
      <c r="JA26" s="214"/>
      <c r="JB26" s="214"/>
      <c r="JC26" s="214"/>
      <c r="JD26" s="214"/>
      <c r="JE26" s="214"/>
      <c r="JF26" s="214"/>
      <c r="JG26" s="214"/>
      <c r="JH26" s="214"/>
      <c r="JI26" s="214"/>
    </row>
    <row r="27" spans="1:269">
      <c r="A27" s="155" t="s">
        <v>108</v>
      </c>
      <c r="B27" s="156">
        <f>Invånare!B21</f>
        <v>11812</v>
      </c>
      <c r="C27" s="156">
        <f t="shared" si="2"/>
        <v>13294169.76</v>
      </c>
      <c r="D27" s="221">
        <f t="shared" si="0"/>
        <v>0.3867587832749419</v>
      </c>
      <c r="E27" s="114">
        <f t="shared" si="1"/>
        <v>1701653.7292800001</v>
      </c>
      <c r="F27" s="214"/>
      <c r="H27" s="155" t="s">
        <v>108</v>
      </c>
      <c r="I27" s="735">
        <v>11757</v>
      </c>
      <c r="J27" s="156"/>
      <c r="K27" s="743">
        <v>1657595</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c r="IZ27" s="214"/>
      <c r="JA27" s="214"/>
      <c r="JB27" s="214"/>
      <c r="JC27" s="214"/>
      <c r="JD27" s="214"/>
      <c r="JE27" s="214"/>
      <c r="JF27" s="214"/>
      <c r="JG27" s="214"/>
      <c r="JH27" s="214"/>
      <c r="JI27" s="214"/>
    </row>
    <row r="28" spans="1:269">
      <c r="A28" s="149" t="s">
        <v>109</v>
      </c>
      <c r="B28" s="157">
        <f>SUM(B12:B27)</f>
        <v>30541</v>
      </c>
      <c r="C28" s="157">
        <f>SUM(C12:C27)</f>
        <v>34373284.68</v>
      </c>
      <c r="D28" s="222">
        <f>SUM(D12:D27)</f>
        <v>0.99999999999999978</v>
      </c>
      <c r="E28" s="223">
        <f>SUM(E12:E27)</f>
        <v>4399780.4390399996</v>
      </c>
      <c r="F28" s="214"/>
      <c r="H28" s="149" t="s">
        <v>109</v>
      </c>
      <c r="I28" s="98">
        <v>30359</v>
      </c>
      <c r="J28" s="157">
        <v>34426144</v>
      </c>
      <c r="K28" s="744">
        <v>4280251</v>
      </c>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row>
    <row r="29" spans="1:269">
      <c r="A29" s="149"/>
      <c r="B29" s="157"/>
      <c r="C29" s="222"/>
      <c r="D29" s="214"/>
      <c r="E29" s="214"/>
      <c r="F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row>
    <row r="30" spans="1:269">
      <c r="A30" s="214"/>
      <c r="B30" s="214"/>
      <c r="C30" s="214"/>
      <c r="D30" s="214"/>
      <c r="E30" s="214"/>
      <c r="F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c r="IZ30" s="214"/>
      <c r="JA30" s="214"/>
      <c r="JB30" s="214"/>
      <c r="JC30" s="214"/>
      <c r="JD30" s="214"/>
      <c r="JE30" s="214"/>
      <c r="JF30" s="214"/>
      <c r="JG30" s="214"/>
      <c r="JH30" s="214"/>
      <c r="JI30" s="214"/>
    </row>
    <row r="31" spans="1:269">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c r="IZ31" s="214"/>
      <c r="JA31" s="214"/>
      <c r="JB31" s="214"/>
      <c r="JC31" s="214"/>
      <c r="JD31" s="214"/>
      <c r="JE31" s="214"/>
      <c r="JF31" s="214"/>
      <c r="JG31" s="214"/>
      <c r="JH31" s="214"/>
      <c r="JI31" s="214"/>
    </row>
    <row r="32" spans="1:269">
      <c r="A32" s="224" t="s">
        <v>579</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row>
    <row r="33" spans="1:269">
      <c r="A33" s="215"/>
      <c r="B33" s="155" t="s">
        <v>539</v>
      </c>
      <c r="C33" s="225"/>
      <c r="D33" s="226" t="s">
        <v>580</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row>
    <row r="34" spans="1:269">
      <c r="A34" s="149" t="s">
        <v>93</v>
      </c>
      <c r="B34" s="152">
        <f t="shared" ref="B34:B49" si="3">E12</f>
        <v>62810.787840000005</v>
      </c>
      <c r="C34" s="152"/>
      <c r="D34" s="305">
        <f>ROUND(B34-C34,2)</f>
        <v>62810.79</v>
      </c>
      <c r="E34" s="214"/>
      <c r="F34" s="214"/>
      <c r="G34" s="227"/>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row>
    <row r="35" spans="1:269">
      <c r="A35" s="149" t="s">
        <v>94</v>
      </c>
      <c r="B35" s="152">
        <f t="shared" si="3"/>
        <v>135705.87648000001</v>
      </c>
      <c r="C35" s="152"/>
      <c r="D35" s="305">
        <f t="shared" ref="D35:D49" si="4">ROUND(B35-C35,2)</f>
        <v>135705.88</v>
      </c>
      <c r="E35" s="214"/>
      <c r="F35" s="214"/>
      <c r="G35" s="227"/>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c r="IZ35" s="214"/>
      <c r="JA35" s="214"/>
      <c r="JB35" s="214"/>
      <c r="JC35" s="214"/>
      <c r="JD35" s="214"/>
      <c r="JE35" s="214"/>
      <c r="JF35" s="214"/>
      <c r="JG35" s="214"/>
      <c r="JH35" s="214"/>
      <c r="JI35" s="214"/>
    </row>
    <row r="36" spans="1:269">
      <c r="A36" s="149" t="s">
        <v>95</v>
      </c>
      <c r="B36" s="152">
        <f t="shared" si="3"/>
        <v>376000.35840000003</v>
      </c>
      <c r="C36" s="152"/>
      <c r="D36" s="305">
        <f t="shared" si="4"/>
        <v>376000.36</v>
      </c>
      <c r="E36" s="214"/>
      <c r="F36" s="214"/>
      <c r="G36" s="227"/>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c r="IZ36" s="214"/>
      <c r="JA36" s="214"/>
      <c r="JB36" s="214"/>
      <c r="JC36" s="214"/>
      <c r="JD36" s="214"/>
      <c r="JE36" s="214"/>
      <c r="JF36" s="214"/>
      <c r="JG36" s="214"/>
      <c r="JH36" s="214"/>
      <c r="JI36" s="214"/>
    </row>
    <row r="37" spans="1:269">
      <c r="A37" s="149" t="s">
        <v>96</v>
      </c>
      <c r="B37" s="152">
        <f t="shared" si="3"/>
        <v>73327.272960000002</v>
      </c>
      <c r="C37" s="152"/>
      <c r="D37" s="305">
        <f t="shared" si="4"/>
        <v>73327.27</v>
      </c>
      <c r="E37" s="214"/>
      <c r="F37" s="214"/>
      <c r="G37" s="227"/>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c r="IW37" s="214"/>
      <c r="IX37" s="214"/>
      <c r="IY37" s="214"/>
      <c r="IZ37" s="214"/>
      <c r="JA37" s="214"/>
      <c r="JB37" s="214"/>
      <c r="JC37" s="214"/>
      <c r="JD37" s="214"/>
      <c r="JE37" s="214"/>
      <c r="JF37" s="214"/>
      <c r="JG37" s="214"/>
      <c r="JH37" s="214"/>
      <c r="JI37" s="214"/>
    </row>
    <row r="38" spans="1:269">
      <c r="A38" s="149" t="s">
        <v>97</v>
      </c>
      <c r="B38" s="152">
        <f t="shared" si="3"/>
        <v>73327.272960000002</v>
      </c>
      <c r="C38" s="152"/>
      <c r="D38" s="305">
        <f t="shared" si="4"/>
        <v>73327.27</v>
      </c>
      <c r="E38" s="214"/>
      <c r="F38" s="214"/>
      <c r="G38" s="227"/>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c r="IZ38" s="214"/>
      <c r="JA38" s="214"/>
      <c r="JB38" s="214"/>
      <c r="JC38" s="214"/>
      <c r="JD38" s="214"/>
      <c r="JE38" s="214"/>
      <c r="JF38" s="214"/>
      <c r="JG38" s="214"/>
      <c r="JH38" s="214"/>
      <c r="JI38" s="214"/>
    </row>
    <row r="39" spans="1:269">
      <c r="A39" s="149" t="s">
        <v>98</v>
      </c>
      <c r="B39" s="152">
        <f t="shared" si="3"/>
        <v>237125.13024</v>
      </c>
      <c r="C39" s="152"/>
      <c r="D39" s="305">
        <f t="shared" si="4"/>
        <v>237125.13</v>
      </c>
      <c r="E39" s="214"/>
      <c r="F39" s="214"/>
      <c r="G39" s="227"/>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c r="IT39" s="214"/>
      <c r="IU39" s="214"/>
      <c r="IV39" s="214"/>
      <c r="IW39" s="214"/>
      <c r="IX39" s="214"/>
      <c r="IY39" s="214"/>
      <c r="IZ39" s="214"/>
      <c r="JA39" s="214"/>
      <c r="JB39" s="214"/>
      <c r="JC39" s="214"/>
      <c r="JD39" s="214"/>
      <c r="JE39" s="214"/>
      <c r="JF39" s="214"/>
      <c r="JG39" s="214"/>
      <c r="JH39" s="214"/>
      <c r="JI39" s="214"/>
    </row>
    <row r="40" spans="1:269">
      <c r="A40" s="149" t="s">
        <v>99</v>
      </c>
      <c r="B40" s="152">
        <f t="shared" si="3"/>
        <v>820718.02367999998</v>
      </c>
      <c r="C40" s="152"/>
      <c r="D40" s="305">
        <f t="shared" si="4"/>
        <v>820718.02</v>
      </c>
      <c r="E40" s="214"/>
      <c r="F40" s="214"/>
      <c r="G40" s="227"/>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c r="IZ40" s="214"/>
      <c r="JA40" s="214"/>
      <c r="JB40" s="214"/>
      <c r="JC40" s="214"/>
      <c r="JD40" s="214"/>
      <c r="JE40" s="214"/>
      <c r="JF40" s="214"/>
      <c r="JG40" s="214"/>
      <c r="JH40" s="214"/>
      <c r="JI40" s="214"/>
    </row>
    <row r="41" spans="1:269">
      <c r="A41" s="149" t="s">
        <v>100</v>
      </c>
      <c r="B41" s="152">
        <f t="shared" si="3"/>
        <v>41777.817600000002</v>
      </c>
      <c r="C41" s="152"/>
      <c r="D41" s="305">
        <f t="shared" si="4"/>
        <v>41777.82</v>
      </c>
      <c r="E41" s="214"/>
      <c r="F41" s="214"/>
      <c r="G41" s="227"/>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row>
    <row r="42" spans="1:269">
      <c r="A42" s="149" t="s">
        <v>101</v>
      </c>
      <c r="B42" s="152">
        <f t="shared" si="3"/>
        <v>32413.824000000001</v>
      </c>
      <c r="C42" s="152"/>
      <c r="D42" s="305">
        <f t="shared" si="4"/>
        <v>32413.82</v>
      </c>
      <c r="E42" s="214"/>
      <c r="F42" s="214"/>
      <c r="G42" s="227"/>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c r="IT42" s="214"/>
      <c r="IU42" s="214"/>
      <c r="IV42" s="214"/>
      <c r="IW42" s="214"/>
      <c r="IX42" s="214"/>
      <c r="IY42" s="214"/>
      <c r="IZ42" s="214"/>
      <c r="JA42" s="214"/>
      <c r="JB42" s="214"/>
      <c r="JC42" s="214"/>
      <c r="JD42" s="214"/>
      <c r="JE42" s="214"/>
      <c r="JF42" s="214"/>
      <c r="JG42" s="214"/>
      <c r="JH42" s="214"/>
      <c r="JI42" s="214"/>
    </row>
    <row r="43" spans="1:269">
      <c r="A43" s="149" t="s">
        <v>102</v>
      </c>
      <c r="B43" s="152">
        <f t="shared" si="3"/>
        <v>306418.68288000004</v>
      </c>
      <c r="C43" s="152"/>
      <c r="D43" s="305">
        <f t="shared" si="4"/>
        <v>306418.68</v>
      </c>
      <c r="E43" s="214"/>
      <c r="F43" s="214"/>
      <c r="G43" s="227"/>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c r="IW43" s="214"/>
      <c r="IX43" s="214"/>
      <c r="IY43" s="214"/>
      <c r="IZ43" s="214"/>
      <c r="JA43" s="214"/>
      <c r="JB43" s="214"/>
      <c r="JC43" s="214"/>
      <c r="JD43" s="214"/>
      <c r="JE43" s="214"/>
      <c r="JF43" s="214"/>
      <c r="JG43" s="214"/>
      <c r="JH43" s="214"/>
      <c r="JI43" s="214"/>
    </row>
    <row r="44" spans="1:269">
      <c r="A44" s="149" t="s">
        <v>103</v>
      </c>
      <c r="B44" s="152">
        <f t="shared" si="3"/>
        <v>52726.48704</v>
      </c>
      <c r="C44" s="152"/>
      <c r="D44" s="305">
        <f t="shared" si="4"/>
        <v>52726.49</v>
      </c>
      <c r="E44" s="214"/>
      <c r="F44" s="214"/>
      <c r="G44" s="227"/>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c r="IW44" s="214"/>
      <c r="IX44" s="214"/>
      <c r="IY44" s="214"/>
      <c r="IZ44" s="214"/>
      <c r="JA44" s="214"/>
      <c r="JB44" s="214"/>
      <c r="JC44" s="214"/>
      <c r="JD44" s="214"/>
      <c r="JE44" s="214"/>
      <c r="JF44" s="214"/>
      <c r="JG44" s="214"/>
      <c r="JH44" s="214"/>
      <c r="JI44" s="214"/>
    </row>
    <row r="45" spans="1:269">
      <c r="A45" s="149" t="s">
        <v>104</v>
      </c>
      <c r="B45" s="152">
        <f t="shared" si="3"/>
        <v>258014.03904</v>
      </c>
      <c r="C45" s="152"/>
      <c r="D45" s="305">
        <f t="shared" si="4"/>
        <v>258014.04</v>
      </c>
      <c r="E45" s="214"/>
      <c r="F45" s="214"/>
      <c r="G45" s="227"/>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c r="IW45" s="214"/>
      <c r="IX45" s="214"/>
      <c r="IY45" s="214"/>
      <c r="IZ45" s="214"/>
      <c r="JA45" s="214"/>
      <c r="JB45" s="214"/>
      <c r="JC45" s="214"/>
      <c r="JD45" s="214"/>
      <c r="JE45" s="214"/>
      <c r="JF45" s="214"/>
      <c r="JG45" s="214"/>
      <c r="JH45" s="214"/>
      <c r="JI45" s="214"/>
    </row>
    <row r="46" spans="1:269">
      <c r="A46" s="149" t="s">
        <v>105</v>
      </c>
      <c r="B46" s="152">
        <f t="shared" si="3"/>
        <v>16567.065600000002</v>
      </c>
      <c r="C46" s="152"/>
      <c r="D46" s="305">
        <f t="shared" si="4"/>
        <v>16567.07</v>
      </c>
      <c r="E46" s="214"/>
      <c r="F46" s="214"/>
      <c r="G46" s="227"/>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c r="IW46" s="214"/>
      <c r="IX46" s="214"/>
      <c r="IY46" s="214"/>
      <c r="IZ46" s="214"/>
      <c r="JA46" s="214"/>
      <c r="JB46" s="214"/>
      <c r="JC46" s="214"/>
      <c r="JD46" s="214"/>
      <c r="JE46" s="214"/>
      <c r="JF46" s="214"/>
      <c r="JG46" s="214"/>
      <c r="JH46" s="214"/>
      <c r="JI46" s="214"/>
    </row>
    <row r="47" spans="1:269">
      <c r="A47" s="149" t="s">
        <v>106</v>
      </c>
      <c r="B47" s="152">
        <f t="shared" si="3"/>
        <v>143341.13279999999</v>
      </c>
      <c r="C47" s="152"/>
      <c r="D47" s="305">
        <f t="shared" si="4"/>
        <v>143341.13</v>
      </c>
      <c r="E47" s="214"/>
      <c r="F47" s="214"/>
      <c r="G47" s="227"/>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c r="IT47" s="214"/>
      <c r="IU47" s="214"/>
      <c r="IV47" s="214"/>
      <c r="IW47" s="214"/>
      <c r="IX47" s="214"/>
      <c r="IY47" s="214"/>
      <c r="IZ47" s="214"/>
      <c r="JA47" s="214"/>
      <c r="JB47" s="214"/>
      <c r="JC47" s="214"/>
      <c r="JD47" s="214"/>
      <c r="JE47" s="214"/>
      <c r="JF47" s="214"/>
      <c r="JG47" s="214"/>
      <c r="JH47" s="214"/>
      <c r="JI47" s="214"/>
    </row>
    <row r="48" spans="1:269">
      <c r="A48" s="149" t="s">
        <v>107</v>
      </c>
      <c r="B48" s="152">
        <f t="shared" si="3"/>
        <v>67852.938240000003</v>
      </c>
      <c r="C48" s="152"/>
      <c r="D48" s="305">
        <f t="shared" si="4"/>
        <v>67852.94</v>
      </c>
      <c r="E48" s="214"/>
      <c r="F48" s="318"/>
      <c r="G48" s="227"/>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c r="IT48" s="214"/>
      <c r="IU48" s="214"/>
      <c r="IV48" s="214"/>
      <c r="IW48" s="214"/>
      <c r="IX48" s="214"/>
      <c r="IY48" s="214"/>
      <c r="IZ48" s="214"/>
      <c r="JA48" s="214"/>
      <c r="JB48" s="214"/>
      <c r="JC48" s="214"/>
      <c r="JD48" s="214"/>
      <c r="JE48" s="214"/>
      <c r="JF48" s="214"/>
      <c r="JG48" s="214"/>
      <c r="JH48" s="214"/>
      <c r="JI48" s="214"/>
    </row>
    <row r="49" spans="1:269">
      <c r="A49" s="155" t="s">
        <v>108</v>
      </c>
      <c r="B49" s="156">
        <f t="shared" si="3"/>
        <v>1701653.7292800001</v>
      </c>
      <c r="C49" s="156"/>
      <c r="D49" s="307">
        <f t="shared" si="4"/>
        <v>1701653.73</v>
      </c>
      <c r="E49" s="214"/>
      <c r="F49" s="214"/>
      <c r="G49" s="227"/>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c r="IZ49" s="214"/>
      <c r="JA49" s="214"/>
      <c r="JB49" s="214"/>
      <c r="JC49" s="214"/>
      <c r="JD49" s="214"/>
      <c r="JE49" s="214"/>
      <c r="JF49" s="214"/>
      <c r="JG49" s="214"/>
      <c r="JH49" s="214"/>
      <c r="JI49" s="214"/>
    </row>
    <row r="50" spans="1:269">
      <c r="A50" s="149" t="s">
        <v>109</v>
      </c>
      <c r="B50" s="157">
        <f>SUM(B34:B49)</f>
        <v>4399780.4390399996</v>
      </c>
      <c r="C50" s="157"/>
      <c r="D50" s="306">
        <f>B50+C50</f>
        <v>4399780.4390399996</v>
      </c>
      <c r="E50" s="214"/>
      <c r="F50" s="214"/>
      <c r="G50" s="227"/>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c r="IT50" s="214"/>
      <c r="IU50" s="214"/>
      <c r="IV50" s="214"/>
      <c r="IW50" s="214"/>
      <c r="IX50" s="214"/>
      <c r="IY50" s="214"/>
      <c r="IZ50" s="214"/>
      <c r="JA50" s="214"/>
      <c r="JB50" s="214"/>
      <c r="JC50" s="214"/>
      <c r="JD50" s="214"/>
      <c r="JE50" s="214"/>
      <c r="JF50" s="214"/>
      <c r="JG50" s="214"/>
      <c r="JH50" s="214"/>
      <c r="JI50" s="214"/>
    </row>
    <row r="51" spans="1:269" ht="15.75" thickBo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c r="IT51" s="214"/>
      <c r="IU51" s="214"/>
      <c r="IV51" s="214"/>
      <c r="IW51" s="214"/>
      <c r="IX51" s="214"/>
      <c r="IY51" s="214"/>
      <c r="IZ51" s="214"/>
      <c r="JA51" s="214"/>
      <c r="JB51" s="214"/>
      <c r="JC51" s="214"/>
      <c r="JD51" s="214"/>
      <c r="JE51" s="214"/>
      <c r="JF51" s="214"/>
      <c r="JG51" s="214"/>
      <c r="JH51" s="214"/>
      <c r="JI51" s="214"/>
    </row>
    <row r="52" spans="1:269" ht="16.5" thickTop="1" thickBot="1">
      <c r="A52" s="214"/>
      <c r="B52" s="214"/>
      <c r="C52" s="214"/>
      <c r="D52" s="101">
        <f>Sociala!C22-'Soctjänst data'!D50</f>
        <v>9.6000079065561295E-4</v>
      </c>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c r="IT52" s="214"/>
      <c r="IU52" s="214"/>
      <c r="IV52" s="214"/>
      <c r="IW52" s="214"/>
      <c r="IX52" s="214"/>
      <c r="IY52" s="214"/>
      <c r="IZ52" s="214"/>
      <c r="JA52" s="214"/>
      <c r="JB52" s="214"/>
      <c r="JC52" s="214"/>
      <c r="JD52" s="214"/>
      <c r="JE52" s="214"/>
      <c r="JF52" s="214"/>
      <c r="JG52" s="214"/>
      <c r="JH52" s="214"/>
      <c r="JI52" s="214"/>
    </row>
    <row r="53" spans="1:269" ht="15.75" thickTop="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c r="IT53" s="214"/>
      <c r="IU53" s="214"/>
      <c r="IV53" s="214"/>
      <c r="IW53" s="214"/>
      <c r="IX53" s="214"/>
      <c r="IY53" s="214"/>
      <c r="IZ53" s="214"/>
      <c r="JA53" s="214"/>
      <c r="JB53" s="214"/>
      <c r="JC53" s="214"/>
      <c r="JD53" s="214"/>
      <c r="JE53" s="214"/>
      <c r="JF53" s="214"/>
      <c r="JG53" s="214"/>
      <c r="JH53" s="214"/>
      <c r="JI53" s="214"/>
    </row>
    <row r="54" spans="1:269">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c r="HI54" s="214"/>
      <c r="HJ54" s="214"/>
      <c r="HK54" s="214"/>
      <c r="HL54" s="214"/>
      <c r="HM54" s="214"/>
      <c r="HN54" s="214"/>
      <c r="HO54" s="214"/>
      <c r="HP54" s="214"/>
      <c r="HQ54" s="214"/>
      <c r="HR54" s="214"/>
      <c r="HS54" s="214"/>
      <c r="HT54" s="214"/>
      <c r="HU54" s="214"/>
      <c r="HV54" s="214"/>
      <c r="HW54" s="214"/>
      <c r="HX54" s="214"/>
      <c r="HY54" s="214"/>
      <c r="HZ54" s="214"/>
      <c r="IA54" s="214"/>
      <c r="IB54" s="214"/>
      <c r="IC54" s="214"/>
      <c r="ID54" s="214"/>
      <c r="IE54" s="214"/>
      <c r="IF54" s="214"/>
      <c r="IG54" s="214"/>
      <c r="IH54" s="214"/>
      <c r="II54" s="214"/>
      <c r="IJ54" s="214"/>
      <c r="IK54" s="214"/>
      <c r="IL54" s="214"/>
      <c r="IM54" s="214"/>
      <c r="IN54" s="214"/>
      <c r="IO54" s="214"/>
      <c r="IP54" s="214"/>
      <c r="IQ54" s="214"/>
      <c r="IR54" s="214"/>
      <c r="IS54" s="214"/>
      <c r="IT54" s="214"/>
      <c r="IU54" s="214"/>
      <c r="IV54" s="214"/>
      <c r="IW54" s="214"/>
      <c r="IX54" s="214"/>
      <c r="IY54" s="214"/>
      <c r="IZ54" s="214"/>
      <c r="JA54" s="214"/>
      <c r="JB54" s="214"/>
      <c r="JC54" s="214"/>
      <c r="JD54" s="214"/>
      <c r="JE54" s="214"/>
      <c r="JF54" s="214"/>
      <c r="JG54" s="214"/>
      <c r="JH54" s="214"/>
      <c r="JI54" s="214"/>
    </row>
    <row r="55" spans="1:269">
      <c r="A55" s="22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c r="IM55" s="214"/>
      <c r="IN55" s="214"/>
      <c r="IO55" s="214"/>
      <c r="IP55" s="214"/>
      <c r="IQ55" s="214"/>
      <c r="IR55" s="214"/>
      <c r="IS55" s="214"/>
      <c r="IT55" s="214"/>
      <c r="IU55" s="214"/>
      <c r="IV55" s="214"/>
      <c r="IW55" s="214"/>
      <c r="IX55" s="214"/>
      <c r="IY55" s="214"/>
      <c r="IZ55" s="214"/>
      <c r="JA55" s="214"/>
      <c r="JB55" s="214"/>
      <c r="JC55" s="214"/>
      <c r="JD55" s="214"/>
      <c r="JE55" s="214"/>
      <c r="JF55" s="214"/>
      <c r="JG55" s="214"/>
      <c r="JH55" s="214"/>
      <c r="JI55" s="214"/>
    </row>
    <row r="56" spans="1:269">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c r="IM56" s="214"/>
      <c r="IN56" s="214"/>
      <c r="IO56" s="214"/>
      <c r="IP56" s="214"/>
      <c r="IQ56" s="214"/>
      <c r="IR56" s="214"/>
      <c r="IS56" s="214"/>
      <c r="IT56" s="214"/>
      <c r="IU56" s="214"/>
      <c r="IV56" s="214"/>
      <c r="IW56" s="214"/>
      <c r="IX56" s="214"/>
      <c r="IY56" s="214"/>
      <c r="IZ56" s="214"/>
      <c r="JA56" s="214"/>
      <c r="JB56" s="214"/>
      <c r="JC56" s="214"/>
      <c r="JD56" s="214"/>
      <c r="JE56" s="214"/>
    </row>
    <row r="57" spans="1:269">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c r="IM57" s="214"/>
      <c r="IN57" s="214"/>
      <c r="IO57" s="214"/>
      <c r="IP57" s="214"/>
      <c r="IQ57" s="214"/>
      <c r="IR57" s="214"/>
      <c r="IS57" s="214"/>
      <c r="IT57" s="214"/>
      <c r="IU57" s="214"/>
      <c r="IV57" s="214"/>
      <c r="IW57" s="214"/>
      <c r="IX57" s="214"/>
      <c r="IY57" s="214"/>
      <c r="IZ57" s="214"/>
      <c r="JA57" s="214"/>
      <c r="JB57" s="214"/>
      <c r="JC57" s="214"/>
      <c r="JD57" s="214"/>
      <c r="JE57" s="214"/>
    </row>
    <row r="58" spans="1:269">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c r="EO58" s="214"/>
      <c r="EP58" s="214"/>
      <c r="EQ58" s="214"/>
      <c r="ER58" s="214"/>
      <c r="ES58" s="214"/>
      <c r="ET58" s="214"/>
      <c r="EU58" s="214"/>
      <c r="EV58" s="214"/>
      <c r="EW58" s="214"/>
      <c r="EX58" s="214"/>
      <c r="EY58" s="214"/>
      <c r="EZ58" s="214"/>
      <c r="FA58" s="214"/>
      <c r="FB58" s="214"/>
      <c r="FC58" s="214"/>
      <c r="FD58" s="214"/>
      <c r="FE58" s="214"/>
      <c r="FF58" s="214"/>
      <c r="FG58" s="214"/>
      <c r="FH58" s="214"/>
      <c r="FI58" s="214"/>
      <c r="FJ58" s="214"/>
      <c r="FK58" s="214"/>
      <c r="FL58" s="214"/>
      <c r="FM58" s="214"/>
      <c r="FN58" s="214"/>
      <c r="FO58" s="214"/>
      <c r="FP58" s="214"/>
      <c r="FQ58" s="214"/>
      <c r="FR58" s="214"/>
      <c r="FS58" s="214"/>
      <c r="FT58" s="214"/>
      <c r="FU58" s="214"/>
      <c r="FV58" s="214"/>
      <c r="FW58" s="214"/>
      <c r="FX58" s="214"/>
      <c r="FY58" s="214"/>
      <c r="FZ58" s="214"/>
      <c r="GA58" s="214"/>
      <c r="GB58" s="214"/>
      <c r="GC58" s="214"/>
      <c r="GD58" s="214"/>
      <c r="GE58" s="214"/>
      <c r="GF58" s="214"/>
      <c r="GG58" s="214"/>
      <c r="GH58" s="214"/>
      <c r="GI58" s="214"/>
      <c r="GJ58" s="214"/>
      <c r="GK58" s="214"/>
      <c r="GL58" s="214"/>
      <c r="GM58" s="214"/>
      <c r="GN58" s="214"/>
      <c r="GO58" s="214"/>
      <c r="GP58" s="214"/>
      <c r="GQ58" s="214"/>
      <c r="GR58" s="214"/>
      <c r="GS58" s="214"/>
      <c r="GT58" s="214"/>
      <c r="GU58" s="214"/>
      <c r="GV58" s="214"/>
      <c r="GW58" s="214"/>
      <c r="GX58" s="214"/>
      <c r="GY58" s="214"/>
      <c r="GZ58" s="214"/>
      <c r="HA58" s="214"/>
      <c r="HB58" s="214"/>
      <c r="HC58" s="214"/>
      <c r="HD58" s="214"/>
      <c r="HE58" s="214"/>
      <c r="HF58" s="214"/>
      <c r="HG58" s="214"/>
      <c r="HH58" s="214"/>
      <c r="HI58" s="214"/>
      <c r="HJ58" s="214"/>
      <c r="HK58" s="214"/>
      <c r="HL58" s="214"/>
      <c r="HM58" s="214"/>
      <c r="HN58" s="214"/>
      <c r="HO58" s="214"/>
      <c r="HP58" s="214"/>
      <c r="HQ58" s="214"/>
      <c r="HR58" s="214"/>
      <c r="HS58" s="214"/>
      <c r="HT58" s="214"/>
      <c r="HU58" s="214"/>
      <c r="HV58" s="214"/>
      <c r="HW58" s="214"/>
      <c r="HX58" s="214"/>
      <c r="HY58" s="214"/>
      <c r="HZ58" s="214"/>
      <c r="IA58" s="214"/>
      <c r="IB58" s="214"/>
      <c r="IC58" s="214"/>
      <c r="ID58" s="214"/>
      <c r="IE58" s="214"/>
      <c r="IF58" s="214"/>
      <c r="IG58" s="214"/>
      <c r="IH58" s="214"/>
      <c r="II58" s="214"/>
      <c r="IJ58" s="214"/>
      <c r="IK58" s="214"/>
      <c r="IL58" s="214"/>
      <c r="IM58" s="214"/>
      <c r="IN58" s="214"/>
      <c r="IO58" s="214"/>
      <c r="IP58" s="214"/>
      <c r="IQ58" s="214"/>
      <c r="IR58" s="214"/>
      <c r="IS58" s="214"/>
      <c r="IT58" s="214"/>
      <c r="IU58" s="214"/>
      <c r="IV58" s="214"/>
      <c r="IW58" s="214"/>
      <c r="IX58" s="214"/>
      <c r="IY58" s="214"/>
      <c r="IZ58" s="214"/>
      <c r="JA58" s="214"/>
      <c r="JB58" s="214"/>
      <c r="JC58" s="214"/>
      <c r="JD58" s="214"/>
      <c r="JE58" s="214"/>
    </row>
    <row r="59" spans="1:269">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row>
    <row r="60" spans="1:269">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c r="IT60" s="214"/>
      <c r="IU60" s="214"/>
      <c r="IV60" s="214"/>
      <c r="IW60" s="214"/>
      <c r="IX60" s="214"/>
      <c r="IY60" s="214"/>
      <c r="IZ60" s="214"/>
      <c r="JA60" s="214"/>
      <c r="JB60" s="214"/>
      <c r="JC60" s="214"/>
      <c r="JD60" s="214"/>
      <c r="JE60" s="214"/>
    </row>
    <row r="61" spans="1:269">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c r="ID61" s="214"/>
      <c r="IE61" s="214"/>
      <c r="IF61" s="214"/>
      <c r="IG61" s="214"/>
      <c r="IH61" s="214"/>
      <c r="II61" s="214"/>
      <c r="IJ61" s="214"/>
      <c r="IK61" s="214"/>
      <c r="IL61" s="214"/>
      <c r="IM61" s="214"/>
      <c r="IN61" s="214"/>
      <c r="IO61" s="214"/>
      <c r="IP61" s="214"/>
      <c r="IQ61" s="214"/>
      <c r="IR61" s="214"/>
      <c r="IS61" s="214"/>
      <c r="IT61" s="214"/>
      <c r="IU61" s="214"/>
      <c r="IV61" s="214"/>
      <c r="IW61" s="214"/>
      <c r="IX61" s="214"/>
      <c r="IY61" s="214"/>
      <c r="IZ61" s="214"/>
      <c r="JA61" s="214"/>
      <c r="JB61" s="214"/>
      <c r="JC61" s="214"/>
      <c r="JD61" s="214"/>
      <c r="JE61" s="214"/>
    </row>
    <row r="62" spans="1:269">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214"/>
      <c r="IQ62" s="214"/>
      <c r="IR62" s="214"/>
      <c r="IS62" s="214"/>
      <c r="IT62" s="214"/>
      <c r="IU62" s="214"/>
      <c r="IV62" s="214"/>
      <c r="IW62" s="214"/>
      <c r="IX62" s="214"/>
      <c r="IY62" s="214"/>
      <c r="IZ62" s="214"/>
      <c r="JA62" s="214"/>
      <c r="JB62" s="214"/>
      <c r="JC62" s="214"/>
      <c r="JD62" s="214"/>
      <c r="JE62" s="214"/>
    </row>
    <row r="63" spans="1:269">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214"/>
      <c r="IQ63" s="214"/>
      <c r="IR63" s="214"/>
      <c r="IS63" s="214"/>
      <c r="IT63" s="214"/>
      <c r="IU63" s="214"/>
      <c r="IV63" s="214"/>
      <c r="IW63" s="214"/>
      <c r="IX63" s="214"/>
      <c r="IY63" s="214"/>
      <c r="IZ63" s="214"/>
      <c r="JA63" s="214"/>
      <c r="JB63" s="214"/>
      <c r="JC63" s="214"/>
      <c r="JD63" s="214"/>
      <c r="JE63" s="214"/>
    </row>
    <row r="64" spans="1:269">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214"/>
      <c r="IQ64" s="214"/>
      <c r="IR64" s="214"/>
      <c r="IS64" s="214"/>
      <c r="IT64" s="214"/>
      <c r="IU64" s="214"/>
      <c r="IV64" s="214"/>
      <c r="IW64" s="214"/>
      <c r="IX64" s="214"/>
      <c r="IY64" s="214"/>
      <c r="IZ64" s="214"/>
      <c r="JA64" s="214"/>
      <c r="JB64" s="214"/>
      <c r="JC64" s="214"/>
      <c r="JD64" s="214"/>
      <c r="JE64" s="214"/>
    </row>
    <row r="65" spans="1:269">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4"/>
      <c r="HT65" s="214"/>
      <c r="HU65" s="214"/>
      <c r="HV65" s="214"/>
      <c r="HW65" s="214"/>
      <c r="HX65" s="214"/>
      <c r="HY65" s="214"/>
      <c r="HZ65" s="214"/>
      <c r="IA65" s="214"/>
      <c r="IB65" s="214"/>
      <c r="IC65" s="214"/>
      <c r="ID65" s="214"/>
      <c r="IE65" s="214"/>
      <c r="IF65" s="214"/>
      <c r="IG65" s="214"/>
      <c r="IH65" s="214"/>
      <c r="II65" s="214"/>
      <c r="IJ65" s="214"/>
      <c r="IK65" s="214"/>
      <c r="IL65" s="214"/>
      <c r="IM65" s="214"/>
      <c r="IN65" s="214"/>
      <c r="IO65" s="214"/>
      <c r="IP65" s="214"/>
      <c r="IQ65" s="214"/>
      <c r="IR65" s="214"/>
      <c r="IS65" s="214"/>
      <c r="IT65" s="214"/>
      <c r="IU65" s="214"/>
      <c r="IV65" s="214"/>
      <c r="IW65" s="214"/>
      <c r="IX65" s="214"/>
      <c r="IY65" s="214"/>
      <c r="IZ65" s="214"/>
      <c r="JA65" s="214"/>
      <c r="JB65" s="214"/>
      <c r="JC65" s="214"/>
      <c r="JD65" s="214"/>
      <c r="JE65" s="214"/>
    </row>
    <row r="66" spans="1:269">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214"/>
      <c r="IQ66" s="214"/>
      <c r="IR66" s="214"/>
      <c r="IS66" s="214"/>
      <c r="IT66" s="214"/>
      <c r="IU66" s="214"/>
      <c r="IV66" s="214"/>
      <c r="IW66" s="214"/>
      <c r="IX66" s="214"/>
      <c r="IY66" s="214"/>
      <c r="IZ66" s="214"/>
      <c r="JA66" s="214"/>
      <c r="JB66" s="214"/>
      <c r="JC66" s="214"/>
      <c r="JD66" s="214"/>
      <c r="JE66" s="214"/>
    </row>
    <row r="67" spans="1:269">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c r="IM67" s="214"/>
      <c r="IN67" s="214"/>
      <c r="IO67" s="214"/>
      <c r="IP67" s="214"/>
      <c r="IQ67" s="214"/>
      <c r="IR67" s="214"/>
      <c r="IS67" s="214"/>
      <c r="IT67" s="214"/>
      <c r="IU67" s="214"/>
      <c r="IV67" s="214"/>
      <c r="IW67" s="214"/>
      <c r="IX67" s="214"/>
      <c r="IY67" s="214"/>
      <c r="IZ67" s="214"/>
      <c r="JA67" s="214"/>
      <c r="JB67" s="214"/>
      <c r="JC67" s="214"/>
      <c r="JD67" s="214"/>
      <c r="JE67" s="214"/>
    </row>
    <row r="68" spans="1:269">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214"/>
      <c r="IQ68" s="214"/>
      <c r="IR68" s="214"/>
      <c r="IS68" s="214"/>
      <c r="IT68" s="214"/>
      <c r="IU68" s="214"/>
      <c r="IV68" s="214"/>
      <c r="IW68" s="214"/>
      <c r="IX68" s="214"/>
      <c r="IY68" s="214"/>
      <c r="IZ68" s="214"/>
      <c r="JA68" s="214"/>
      <c r="JB68" s="214"/>
      <c r="JC68" s="214"/>
      <c r="JD68" s="214"/>
      <c r="JE68" s="214"/>
    </row>
    <row r="69" spans="1:269">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c r="IM69" s="214"/>
      <c r="IN69" s="214"/>
      <c r="IO69" s="214"/>
      <c r="IP69" s="214"/>
      <c r="IQ69" s="214"/>
      <c r="IR69" s="214"/>
      <c r="IS69" s="214"/>
      <c r="IT69" s="214"/>
      <c r="IU69" s="214"/>
      <c r="IV69" s="214"/>
      <c r="IW69" s="214"/>
      <c r="IX69" s="214"/>
      <c r="IY69" s="214"/>
      <c r="IZ69" s="214"/>
      <c r="JA69" s="214"/>
      <c r="JB69" s="214"/>
      <c r="JC69" s="214"/>
      <c r="JD69" s="214"/>
      <c r="JE69" s="214"/>
    </row>
    <row r="70" spans="1:269">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c r="IM70" s="214"/>
      <c r="IN70" s="214"/>
      <c r="IO70" s="214"/>
      <c r="IP70" s="214"/>
      <c r="IQ70" s="214"/>
      <c r="IR70" s="214"/>
      <c r="IS70" s="214"/>
      <c r="IT70" s="214"/>
      <c r="IU70" s="214"/>
      <c r="IV70" s="214"/>
      <c r="IW70" s="214"/>
      <c r="IX70" s="214"/>
      <c r="IY70" s="214"/>
      <c r="IZ70" s="214"/>
      <c r="JA70" s="214"/>
      <c r="JB70" s="214"/>
      <c r="JC70" s="214"/>
      <c r="JD70" s="214"/>
      <c r="JE70" s="214"/>
    </row>
    <row r="71" spans="1:269">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c r="IM71" s="214"/>
      <c r="IN71" s="214"/>
      <c r="IO71" s="214"/>
      <c r="IP71" s="214"/>
      <c r="IQ71" s="214"/>
      <c r="IR71" s="214"/>
      <c r="IS71" s="214"/>
      <c r="IT71" s="214"/>
      <c r="IU71" s="214"/>
      <c r="IV71" s="214"/>
      <c r="IW71" s="214"/>
      <c r="IX71" s="214"/>
      <c r="IY71" s="214"/>
      <c r="IZ71" s="214"/>
      <c r="JA71" s="214"/>
      <c r="JB71" s="214"/>
      <c r="JC71" s="214"/>
      <c r="JD71" s="214"/>
      <c r="JE71" s="214"/>
    </row>
    <row r="72" spans="1:269">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c r="IT72" s="214"/>
      <c r="IU72" s="214"/>
      <c r="IV72" s="214"/>
      <c r="IW72" s="214"/>
      <c r="IX72" s="214"/>
      <c r="IY72" s="214"/>
      <c r="IZ72" s="214"/>
      <c r="JA72" s="214"/>
      <c r="JB72" s="214"/>
      <c r="JC72" s="214"/>
      <c r="JD72" s="214"/>
      <c r="JE72" s="214"/>
    </row>
    <row r="73" spans="1:269">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c r="IT73" s="214"/>
      <c r="IU73" s="214"/>
      <c r="IV73" s="214"/>
      <c r="IW73" s="214"/>
      <c r="IX73" s="214"/>
      <c r="IY73" s="214"/>
      <c r="IZ73" s="214"/>
      <c r="JA73" s="214"/>
      <c r="JB73" s="214"/>
      <c r="JC73" s="214"/>
      <c r="JD73" s="214"/>
      <c r="JE73" s="214"/>
      <c r="JF73" s="214"/>
      <c r="JG73" s="214"/>
      <c r="JH73" s="214"/>
      <c r="JI73" s="214"/>
    </row>
    <row r="74" spans="1:269">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c r="IT74" s="214"/>
      <c r="IU74" s="214"/>
      <c r="IV74" s="214"/>
      <c r="IW74" s="214"/>
      <c r="IX74" s="214"/>
      <c r="IY74" s="214"/>
      <c r="IZ74" s="214"/>
      <c r="JA74" s="214"/>
      <c r="JB74" s="214"/>
      <c r="JC74" s="214"/>
      <c r="JD74" s="214"/>
      <c r="JE74" s="214"/>
      <c r="JF74" s="214"/>
      <c r="JG74" s="214"/>
      <c r="JH74" s="214"/>
      <c r="JI74" s="214"/>
    </row>
    <row r="75" spans="1:269">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c r="IW75" s="214"/>
      <c r="IX75" s="214"/>
      <c r="IY75" s="214"/>
      <c r="IZ75" s="214"/>
      <c r="JA75" s="214"/>
      <c r="JB75" s="214"/>
      <c r="JC75" s="214"/>
      <c r="JD75" s="214"/>
      <c r="JE75" s="214"/>
      <c r="JF75" s="214"/>
      <c r="JG75" s="214"/>
      <c r="JH75" s="214"/>
      <c r="JI75" s="214"/>
    </row>
    <row r="76" spans="1:269">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c r="IW76" s="214"/>
      <c r="IX76" s="214"/>
      <c r="IY76" s="214"/>
      <c r="IZ76" s="214"/>
      <c r="JA76" s="214"/>
      <c r="JB76" s="214"/>
      <c r="JC76" s="214"/>
      <c r="JD76" s="214"/>
      <c r="JE76" s="214"/>
      <c r="JF76" s="214"/>
      <c r="JG76" s="214"/>
      <c r="JH76" s="214"/>
      <c r="JI76" s="214"/>
    </row>
    <row r="77" spans="1:269">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c r="IT77" s="214"/>
      <c r="IU77" s="214"/>
      <c r="IV77" s="214"/>
      <c r="IW77" s="214"/>
      <c r="IX77" s="214"/>
      <c r="IY77" s="214"/>
      <c r="IZ77" s="214"/>
      <c r="JA77" s="214"/>
      <c r="JB77" s="214"/>
      <c r="JC77" s="214"/>
      <c r="JD77" s="214"/>
      <c r="JE77" s="214"/>
      <c r="JF77" s="214"/>
      <c r="JG77" s="214"/>
      <c r="JH77" s="214"/>
      <c r="JI77" s="214"/>
    </row>
    <row r="78" spans="1:269">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c r="IW78" s="214"/>
      <c r="IX78" s="214"/>
      <c r="IY78" s="214"/>
      <c r="IZ78" s="214"/>
      <c r="JA78" s="214"/>
      <c r="JB78" s="214"/>
      <c r="JC78" s="214"/>
      <c r="JD78" s="214"/>
      <c r="JE78" s="214"/>
      <c r="JF78" s="214"/>
      <c r="JG78" s="214"/>
      <c r="JH78" s="214"/>
      <c r="JI78" s="214"/>
    </row>
    <row r="79" spans="1:269">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c r="IW79" s="214"/>
      <c r="IX79" s="214"/>
      <c r="IY79" s="214"/>
      <c r="IZ79" s="214"/>
      <c r="JA79" s="214"/>
      <c r="JB79" s="214"/>
      <c r="JC79" s="214"/>
      <c r="JD79" s="214"/>
      <c r="JE79" s="214"/>
      <c r="JF79" s="214"/>
      <c r="JG79" s="214"/>
      <c r="JH79" s="214"/>
      <c r="JI79" s="214"/>
    </row>
    <row r="80" spans="1:269">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c r="IW80" s="214"/>
      <c r="IX80" s="214"/>
      <c r="IY80" s="214"/>
      <c r="IZ80" s="214"/>
      <c r="JA80" s="214"/>
      <c r="JB80" s="214"/>
      <c r="JC80" s="214"/>
      <c r="JD80" s="214"/>
      <c r="JE80" s="214"/>
      <c r="JF80" s="214"/>
      <c r="JG80" s="214"/>
      <c r="JH80" s="214"/>
      <c r="JI80" s="214"/>
    </row>
    <row r="81" spans="1:269">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c r="IW81" s="214"/>
      <c r="IX81" s="214"/>
      <c r="IY81" s="214"/>
      <c r="IZ81" s="214"/>
      <c r="JA81" s="214"/>
      <c r="JB81" s="214"/>
      <c r="JC81" s="214"/>
      <c r="JD81" s="214"/>
      <c r="JE81" s="214"/>
      <c r="JF81" s="214"/>
      <c r="JG81" s="214"/>
      <c r="JH81" s="214"/>
      <c r="JI81" s="214"/>
    </row>
    <row r="82" spans="1:269">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c r="IW82" s="214"/>
      <c r="IX82" s="214"/>
      <c r="IY82" s="214"/>
      <c r="IZ82" s="214"/>
      <c r="JA82" s="214"/>
      <c r="JB82" s="214"/>
      <c r="JC82" s="214"/>
      <c r="JD82" s="214"/>
      <c r="JE82" s="214"/>
      <c r="JF82" s="214"/>
      <c r="JG82" s="214"/>
      <c r="JH82" s="214"/>
      <c r="JI82" s="214"/>
    </row>
    <row r="83" spans="1:269">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c r="IW83" s="214"/>
      <c r="IX83" s="214"/>
      <c r="IY83" s="214"/>
      <c r="IZ83" s="214"/>
      <c r="JA83" s="214"/>
      <c r="JB83" s="214"/>
      <c r="JC83" s="214"/>
      <c r="JD83" s="214"/>
      <c r="JE83" s="214"/>
      <c r="JF83" s="214"/>
      <c r="JG83" s="214"/>
      <c r="JH83" s="214"/>
      <c r="JI83" s="214"/>
    </row>
    <row r="84" spans="1:269">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c r="IW84" s="214"/>
      <c r="IX84" s="214"/>
      <c r="IY84" s="214"/>
      <c r="IZ84" s="214"/>
      <c r="JA84" s="214"/>
      <c r="JB84" s="214"/>
      <c r="JC84" s="214"/>
      <c r="JD84" s="214"/>
      <c r="JE84" s="214"/>
      <c r="JF84" s="214"/>
      <c r="JG84" s="214"/>
      <c r="JH84" s="214"/>
      <c r="JI84" s="214"/>
    </row>
    <row r="85" spans="1:269">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c r="IW85" s="214"/>
      <c r="IX85" s="214"/>
      <c r="IY85" s="214"/>
      <c r="IZ85" s="214"/>
      <c r="JA85" s="214"/>
      <c r="JB85" s="214"/>
      <c r="JC85" s="214"/>
      <c r="JD85" s="214"/>
      <c r="JE85" s="214"/>
      <c r="JF85" s="214"/>
      <c r="JG85" s="214"/>
      <c r="JH85" s="214"/>
      <c r="JI85" s="214"/>
    </row>
    <row r="86" spans="1:269">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c r="IW86" s="214"/>
      <c r="IX86" s="214"/>
      <c r="IY86" s="214"/>
      <c r="IZ86" s="214"/>
      <c r="JA86" s="214"/>
      <c r="JB86" s="214"/>
      <c r="JC86" s="214"/>
      <c r="JD86" s="214"/>
      <c r="JE86" s="214"/>
      <c r="JF86" s="214"/>
      <c r="JG86" s="214"/>
      <c r="JH86" s="214"/>
      <c r="JI86" s="214"/>
    </row>
    <row r="87" spans="1:269">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c r="IW87" s="214"/>
      <c r="IX87" s="214"/>
      <c r="IY87" s="214"/>
      <c r="IZ87" s="214"/>
      <c r="JA87" s="214"/>
      <c r="JB87" s="214"/>
      <c r="JC87" s="214"/>
      <c r="JD87" s="214"/>
      <c r="JE87" s="214"/>
      <c r="JF87" s="214"/>
      <c r="JG87" s="214"/>
      <c r="JH87" s="214"/>
      <c r="JI87" s="214"/>
    </row>
    <row r="88" spans="1:269">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c r="IW88" s="214"/>
      <c r="IX88" s="214"/>
      <c r="IY88" s="214"/>
      <c r="IZ88" s="214"/>
      <c r="JA88" s="214"/>
      <c r="JB88" s="214"/>
      <c r="JC88" s="214"/>
      <c r="JD88" s="214"/>
      <c r="JE88" s="214"/>
      <c r="JF88" s="214"/>
      <c r="JG88" s="214"/>
      <c r="JH88" s="214"/>
      <c r="JI88" s="214"/>
    </row>
    <row r="89" spans="1:269">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c r="IW89" s="214"/>
      <c r="IX89" s="214"/>
      <c r="IY89" s="214"/>
      <c r="IZ89" s="214"/>
      <c r="JA89" s="214"/>
      <c r="JB89" s="214"/>
      <c r="JC89" s="214"/>
      <c r="JD89" s="214"/>
      <c r="JE89" s="214"/>
      <c r="JF89" s="214"/>
      <c r="JG89" s="214"/>
      <c r="JH89" s="214"/>
      <c r="JI89" s="214"/>
    </row>
    <row r="90" spans="1:269">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214"/>
      <c r="IQ90" s="214"/>
      <c r="IR90" s="214"/>
      <c r="IS90" s="214"/>
      <c r="IT90" s="214"/>
      <c r="IU90" s="214"/>
      <c r="IV90" s="214"/>
      <c r="IW90" s="214"/>
      <c r="IX90" s="214"/>
      <c r="IY90" s="214"/>
      <c r="IZ90" s="214"/>
      <c r="JA90" s="214"/>
      <c r="JB90" s="214"/>
      <c r="JC90" s="214"/>
      <c r="JD90" s="214"/>
      <c r="JE90" s="214"/>
      <c r="JF90" s="214"/>
      <c r="JG90" s="214"/>
      <c r="JH90" s="214"/>
      <c r="JI90" s="214"/>
    </row>
    <row r="91" spans="1:269">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214"/>
      <c r="IQ91" s="214"/>
      <c r="IR91" s="214"/>
      <c r="IS91" s="214"/>
      <c r="IT91" s="214"/>
      <c r="IU91" s="214"/>
      <c r="IV91" s="214"/>
      <c r="IW91" s="214"/>
      <c r="IX91" s="214"/>
      <c r="IY91" s="214"/>
      <c r="IZ91" s="214"/>
      <c r="JA91" s="214"/>
      <c r="JB91" s="214"/>
      <c r="JC91" s="214"/>
      <c r="JD91" s="214"/>
      <c r="JE91" s="214"/>
      <c r="JF91" s="214"/>
      <c r="JG91" s="214"/>
      <c r="JH91" s="214"/>
      <c r="JI91" s="214"/>
    </row>
    <row r="92" spans="1:269">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214"/>
      <c r="IQ92" s="214"/>
      <c r="IR92" s="214"/>
      <c r="IS92" s="214"/>
      <c r="IT92" s="214"/>
      <c r="IU92" s="214"/>
      <c r="IV92" s="214"/>
      <c r="IW92" s="214"/>
      <c r="IX92" s="214"/>
      <c r="IY92" s="214"/>
      <c r="IZ92" s="214"/>
      <c r="JA92" s="214"/>
      <c r="JB92" s="214"/>
      <c r="JC92" s="214"/>
      <c r="JD92" s="214"/>
      <c r="JE92" s="214"/>
      <c r="JF92" s="214"/>
      <c r="JG92" s="214"/>
      <c r="JH92" s="214"/>
      <c r="JI92" s="214"/>
    </row>
    <row r="93" spans="1:269">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214"/>
      <c r="IQ93" s="214"/>
      <c r="IR93" s="214"/>
      <c r="IS93" s="214"/>
      <c r="IT93" s="214"/>
      <c r="IU93" s="214"/>
      <c r="IV93" s="214"/>
      <c r="IW93" s="214"/>
      <c r="IX93" s="214"/>
      <c r="IY93" s="214"/>
      <c r="IZ93" s="214"/>
      <c r="JA93" s="214"/>
      <c r="JB93" s="214"/>
      <c r="JC93" s="214"/>
      <c r="JD93" s="214"/>
      <c r="JE93" s="214"/>
      <c r="JF93" s="214"/>
      <c r="JG93" s="214"/>
      <c r="JH93" s="214"/>
      <c r="JI93" s="214"/>
    </row>
    <row r="94" spans="1:269">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214"/>
      <c r="IQ94" s="214"/>
      <c r="IR94" s="214"/>
      <c r="IS94" s="214"/>
      <c r="IT94" s="214"/>
      <c r="IU94" s="214"/>
      <c r="IV94" s="214"/>
      <c r="IW94" s="214"/>
      <c r="IX94" s="214"/>
      <c r="IY94" s="214"/>
      <c r="IZ94" s="214"/>
      <c r="JA94" s="214"/>
      <c r="JB94" s="214"/>
      <c r="JC94" s="214"/>
      <c r="JD94" s="214"/>
      <c r="JE94" s="214"/>
      <c r="JF94" s="214"/>
      <c r="JG94" s="214"/>
      <c r="JH94" s="214"/>
      <c r="JI94" s="214"/>
    </row>
    <row r="95" spans="1:269">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214"/>
      <c r="IQ95" s="214"/>
      <c r="IR95" s="214"/>
      <c r="IS95" s="214"/>
      <c r="IT95" s="214"/>
      <c r="IU95" s="214"/>
      <c r="IV95" s="214"/>
      <c r="IW95" s="214"/>
      <c r="IX95" s="214"/>
      <c r="IY95" s="214"/>
      <c r="IZ95" s="214"/>
      <c r="JA95" s="214"/>
      <c r="JB95" s="214"/>
      <c r="JC95" s="214"/>
      <c r="JD95" s="214"/>
      <c r="JE95" s="214"/>
      <c r="JF95" s="214"/>
      <c r="JG95" s="214"/>
      <c r="JH95" s="214"/>
      <c r="JI95" s="214"/>
    </row>
    <row r="96" spans="1:269">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214"/>
      <c r="IQ96" s="214"/>
      <c r="IR96" s="214"/>
      <c r="IS96" s="214"/>
      <c r="IT96" s="214"/>
      <c r="IU96" s="214"/>
      <c r="IV96" s="214"/>
      <c r="IW96" s="214"/>
      <c r="IX96" s="214"/>
      <c r="IY96" s="214"/>
      <c r="IZ96" s="214"/>
      <c r="JA96" s="214"/>
      <c r="JB96" s="214"/>
      <c r="JC96" s="214"/>
      <c r="JD96" s="214"/>
      <c r="JE96" s="214"/>
      <c r="JF96" s="214"/>
      <c r="JG96" s="214"/>
      <c r="JH96" s="214"/>
      <c r="JI96" s="214"/>
    </row>
    <row r="97" spans="1:269">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c r="IT97" s="214"/>
      <c r="IU97" s="214"/>
      <c r="IV97" s="214"/>
      <c r="IW97" s="214"/>
      <c r="IX97" s="214"/>
      <c r="IY97" s="214"/>
      <c r="IZ97" s="214"/>
      <c r="JA97" s="214"/>
      <c r="JB97" s="214"/>
      <c r="JC97" s="214"/>
      <c r="JD97" s="214"/>
      <c r="JE97" s="214"/>
      <c r="JF97" s="214"/>
      <c r="JG97" s="214"/>
      <c r="JH97" s="214"/>
      <c r="JI97" s="214"/>
    </row>
    <row r="98" spans="1:269">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c r="IT98" s="214"/>
      <c r="IU98" s="214"/>
      <c r="IV98" s="214"/>
      <c r="IW98" s="214"/>
      <c r="IX98" s="214"/>
      <c r="IY98" s="214"/>
      <c r="IZ98" s="214"/>
      <c r="JA98" s="214"/>
      <c r="JB98" s="214"/>
      <c r="JC98" s="214"/>
      <c r="JD98" s="214"/>
      <c r="JE98" s="214"/>
      <c r="JF98" s="214"/>
      <c r="JG98" s="214"/>
      <c r="JH98" s="214"/>
      <c r="JI98" s="214"/>
    </row>
    <row r="99" spans="1:269">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c r="IT99" s="214"/>
      <c r="IU99" s="214"/>
      <c r="IV99" s="214"/>
      <c r="IW99" s="214"/>
      <c r="IX99" s="214"/>
      <c r="IY99" s="214"/>
      <c r="IZ99" s="214"/>
      <c r="JA99" s="214"/>
      <c r="JB99" s="214"/>
      <c r="JC99" s="214"/>
      <c r="JD99" s="214"/>
      <c r="JE99" s="214"/>
      <c r="JF99" s="214"/>
      <c r="JG99" s="214"/>
      <c r="JH99" s="214"/>
      <c r="JI99" s="214"/>
    </row>
    <row r="100" spans="1:269">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214"/>
      <c r="IQ100" s="214"/>
      <c r="IR100" s="214"/>
      <c r="IS100" s="214"/>
      <c r="IT100" s="214"/>
      <c r="IU100" s="214"/>
      <c r="IV100" s="214"/>
      <c r="IW100" s="214"/>
      <c r="IX100" s="214"/>
      <c r="IY100" s="214"/>
      <c r="IZ100" s="214"/>
      <c r="JA100" s="214"/>
      <c r="JB100" s="214"/>
      <c r="JC100" s="214"/>
      <c r="JD100" s="214"/>
      <c r="JE100" s="214"/>
      <c r="JF100" s="214"/>
      <c r="JG100" s="214"/>
      <c r="JH100" s="214"/>
      <c r="JI100" s="214"/>
    </row>
    <row r="101" spans="1:269">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c r="FG101" s="214"/>
      <c r="FH101" s="214"/>
      <c r="FI101" s="214"/>
      <c r="FJ101" s="214"/>
      <c r="FK101" s="214"/>
      <c r="FL101" s="214"/>
      <c r="FM101" s="214"/>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214"/>
      <c r="IQ101" s="214"/>
      <c r="IR101" s="214"/>
      <c r="IS101" s="214"/>
      <c r="IT101" s="214"/>
      <c r="IU101" s="214"/>
      <c r="IV101" s="214"/>
      <c r="IW101" s="214"/>
      <c r="IX101" s="214"/>
      <c r="IY101" s="214"/>
      <c r="IZ101" s="214"/>
      <c r="JA101" s="214"/>
      <c r="JB101" s="214"/>
      <c r="JC101" s="214"/>
      <c r="JD101" s="214"/>
      <c r="JE101" s="214"/>
      <c r="JF101" s="214"/>
      <c r="JG101" s="214"/>
      <c r="JH101" s="214"/>
      <c r="JI101" s="214"/>
    </row>
    <row r="102" spans="1:269">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4"/>
      <c r="EY102" s="214"/>
      <c r="EZ102" s="214"/>
      <c r="FA102" s="214"/>
      <c r="FB102" s="214"/>
      <c r="FC102" s="214"/>
      <c r="FD102" s="214"/>
      <c r="FE102" s="214"/>
      <c r="FF102" s="214"/>
      <c r="FG102" s="214"/>
      <c r="FH102" s="214"/>
      <c r="FI102" s="214"/>
      <c r="FJ102" s="214"/>
      <c r="FK102" s="214"/>
      <c r="FL102" s="214"/>
      <c r="FM102" s="214"/>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c r="HI102" s="214"/>
      <c r="HJ102" s="214"/>
      <c r="HK102" s="214"/>
      <c r="HL102" s="214"/>
      <c r="HM102" s="214"/>
      <c r="HN102" s="214"/>
      <c r="HO102" s="214"/>
      <c r="HP102" s="214"/>
      <c r="HQ102" s="214"/>
      <c r="HR102" s="214"/>
      <c r="HS102" s="214"/>
      <c r="HT102" s="214"/>
      <c r="HU102" s="214"/>
      <c r="HV102" s="214"/>
      <c r="HW102" s="214"/>
      <c r="HX102" s="214"/>
      <c r="HY102" s="214"/>
      <c r="HZ102" s="214"/>
      <c r="IA102" s="214"/>
      <c r="IB102" s="214"/>
      <c r="IC102" s="214"/>
      <c r="ID102" s="214"/>
      <c r="IE102" s="214"/>
      <c r="IF102" s="214"/>
      <c r="IG102" s="214"/>
      <c r="IH102" s="214"/>
      <c r="II102" s="214"/>
      <c r="IJ102" s="214"/>
      <c r="IK102" s="214"/>
      <c r="IL102" s="214"/>
      <c r="IM102" s="214"/>
      <c r="IN102" s="214"/>
      <c r="IO102" s="214"/>
      <c r="IP102" s="214"/>
      <c r="IQ102" s="214"/>
      <c r="IR102" s="214"/>
      <c r="IS102" s="214"/>
      <c r="IT102" s="214"/>
      <c r="IU102" s="214"/>
      <c r="IV102" s="214"/>
      <c r="IW102" s="214"/>
      <c r="IX102" s="214"/>
      <c r="IY102" s="214"/>
      <c r="IZ102" s="214"/>
      <c r="JA102" s="214"/>
      <c r="JB102" s="214"/>
      <c r="JC102" s="214"/>
      <c r="JD102" s="214"/>
      <c r="JE102" s="214"/>
      <c r="JF102" s="214"/>
      <c r="JG102" s="214"/>
      <c r="JH102" s="214"/>
      <c r="JI102" s="214"/>
    </row>
    <row r="103" spans="1:269">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c r="EO103" s="214"/>
      <c r="EP103" s="214"/>
      <c r="EQ103" s="214"/>
      <c r="ER103" s="214"/>
      <c r="ES103" s="214"/>
      <c r="ET103" s="214"/>
      <c r="EU103" s="214"/>
      <c r="EV103" s="214"/>
      <c r="EW103" s="214"/>
      <c r="EX103" s="214"/>
      <c r="EY103" s="214"/>
      <c r="EZ103" s="214"/>
      <c r="FA103" s="214"/>
      <c r="FB103" s="214"/>
      <c r="FC103" s="214"/>
      <c r="FD103" s="214"/>
      <c r="FE103" s="214"/>
      <c r="FF103" s="214"/>
      <c r="FG103" s="214"/>
      <c r="FH103" s="214"/>
      <c r="FI103" s="214"/>
      <c r="FJ103" s="214"/>
      <c r="FK103" s="214"/>
      <c r="FL103" s="214"/>
      <c r="FM103" s="214"/>
      <c r="FN103" s="214"/>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c r="IB103" s="214"/>
      <c r="IC103" s="214"/>
      <c r="ID103" s="214"/>
      <c r="IE103" s="214"/>
      <c r="IF103" s="214"/>
      <c r="IG103" s="214"/>
      <c r="IH103" s="214"/>
      <c r="II103" s="214"/>
      <c r="IJ103" s="214"/>
      <c r="IK103" s="214"/>
      <c r="IL103" s="214"/>
      <c r="IM103" s="214"/>
      <c r="IN103" s="214"/>
      <c r="IO103" s="214"/>
      <c r="IP103" s="214"/>
      <c r="IQ103" s="214"/>
      <c r="IR103" s="214"/>
      <c r="IS103" s="214"/>
      <c r="IT103" s="214"/>
      <c r="IU103" s="214"/>
      <c r="IV103" s="214"/>
      <c r="IW103" s="214"/>
      <c r="IX103" s="214"/>
      <c r="IY103" s="214"/>
      <c r="IZ103" s="214"/>
      <c r="JA103" s="214"/>
      <c r="JB103" s="214"/>
      <c r="JC103" s="214"/>
      <c r="JD103" s="214"/>
      <c r="JE103" s="214"/>
      <c r="JF103" s="214"/>
      <c r="JG103" s="214"/>
      <c r="JH103" s="214"/>
      <c r="JI103" s="214"/>
    </row>
    <row r="104" spans="1:269">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214"/>
      <c r="IQ104" s="214"/>
      <c r="IR104" s="214"/>
      <c r="IS104" s="214"/>
      <c r="IT104" s="214"/>
      <c r="IU104" s="214"/>
      <c r="IV104" s="214"/>
      <c r="IW104" s="214"/>
      <c r="IX104" s="214"/>
      <c r="IY104" s="214"/>
      <c r="IZ104" s="214"/>
      <c r="JA104" s="214"/>
      <c r="JB104" s="214"/>
      <c r="JC104" s="214"/>
      <c r="JD104" s="214"/>
      <c r="JE104" s="214"/>
      <c r="JF104" s="214"/>
      <c r="JG104" s="214"/>
      <c r="JH104" s="214"/>
      <c r="JI104" s="214"/>
    </row>
    <row r="105" spans="1:269">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214"/>
      <c r="IQ105" s="214"/>
      <c r="IR105" s="214"/>
      <c r="IS105" s="214"/>
      <c r="IT105" s="214"/>
      <c r="IU105" s="214"/>
      <c r="IV105" s="214"/>
      <c r="IW105" s="214"/>
      <c r="IX105" s="214"/>
      <c r="IY105" s="214"/>
      <c r="IZ105" s="214"/>
      <c r="JA105" s="214"/>
      <c r="JB105" s="214"/>
      <c r="JC105" s="214"/>
      <c r="JD105" s="214"/>
      <c r="JE105" s="214"/>
      <c r="JF105" s="214"/>
      <c r="JG105" s="214"/>
      <c r="JH105" s="214"/>
      <c r="JI105" s="214"/>
    </row>
    <row r="106" spans="1:269">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214"/>
      <c r="IQ106" s="214"/>
      <c r="IR106" s="214"/>
      <c r="IS106" s="214"/>
      <c r="IT106" s="214"/>
      <c r="IU106" s="214"/>
      <c r="IV106" s="214"/>
      <c r="IW106" s="214"/>
      <c r="IX106" s="214"/>
      <c r="IY106" s="214"/>
      <c r="IZ106" s="214"/>
      <c r="JA106" s="214"/>
      <c r="JB106" s="214"/>
      <c r="JC106" s="214"/>
      <c r="JD106" s="214"/>
      <c r="JE106" s="214"/>
      <c r="JF106" s="214"/>
      <c r="JG106" s="214"/>
      <c r="JH106" s="214"/>
      <c r="JI106" s="214"/>
    </row>
    <row r="107" spans="1:269">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214"/>
      <c r="IQ107" s="214"/>
      <c r="IR107" s="214"/>
      <c r="IS107" s="214"/>
      <c r="IT107" s="214"/>
      <c r="IU107" s="214"/>
      <c r="IV107" s="214"/>
      <c r="IW107" s="214"/>
      <c r="IX107" s="214"/>
      <c r="IY107" s="214"/>
      <c r="IZ107" s="214"/>
      <c r="JA107" s="214"/>
      <c r="JB107" s="214"/>
      <c r="JC107" s="214"/>
      <c r="JD107" s="214"/>
      <c r="JE107" s="214"/>
      <c r="JF107" s="214"/>
      <c r="JG107" s="214"/>
      <c r="JH107" s="214"/>
      <c r="JI107" s="214"/>
    </row>
    <row r="108" spans="1:269">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4"/>
      <c r="HS108" s="214"/>
      <c r="HT108" s="214"/>
      <c r="HU108" s="214"/>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214"/>
      <c r="IQ108" s="214"/>
      <c r="IR108" s="214"/>
      <c r="IS108" s="214"/>
      <c r="IT108" s="214"/>
      <c r="IU108" s="214"/>
      <c r="IV108" s="214"/>
      <c r="IW108" s="214"/>
      <c r="IX108" s="214"/>
      <c r="IY108" s="214"/>
      <c r="IZ108" s="214"/>
      <c r="JA108" s="214"/>
      <c r="JB108" s="214"/>
      <c r="JC108" s="214"/>
      <c r="JD108" s="214"/>
      <c r="JE108" s="214"/>
      <c r="JF108" s="214"/>
      <c r="JG108" s="214"/>
      <c r="JH108" s="214"/>
      <c r="JI108" s="214"/>
    </row>
    <row r="109" spans="1:269">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c r="EO109" s="214"/>
      <c r="EP109" s="214"/>
      <c r="EQ109" s="214"/>
      <c r="ER109" s="214"/>
      <c r="ES109" s="214"/>
      <c r="ET109" s="214"/>
      <c r="EU109" s="214"/>
      <c r="EV109" s="214"/>
      <c r="EW109" s="214"/>
      <c r="EX109" s="214"/>
      <c r="EY109" s="214"/>
      <c r="EZ109" s="214"/>
      <c r="FA109" s="214"/>
      <c r="FB109" s="214"/>
      <c r="FC109" s="214"/>
      <c r="FD109" s="214"/>
      <c r="FE109" s="214"/>
      <c r="FF109" s="214"/>
      <c r="FG109" s="214"/>
      <c r="FH109" s="214"/>
      <c r="FI109" s="214"/>
      <c r="FJ109" s="214"/>
      <c r="FK109" s="214"/>
      <c r="FL109" s="214"/>
      <c r="FM109" s="214"/>
      <c r="FN109" s="214"/>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214"/>
      <c r="IQ109" s="214"/>
      <c r="IR109" s="214"/>
      <c r="IS109" s="214"/>
      <c r="IT109" s="214"/>
      <c r="IU109" s="214"/>
      <c r="IV109" s="214"/>
      <c r="IW109" s="214"/>
      <c r="IX109" s="214"/>
      <c r="IY109" s="214"/>
      <c r="IZ109" s="214"/>
      <c r="JA109" s="214"/>
      <c r="JB109" s="214"/>
      <c r="JC109" s="214"/>
      <c r="JD109" s="214"/>
      <c r="JE109" s="214"/>
      <c r="JF109" s="214"/>
      <c r="JG109" s="214"/>
      <c r="JH109" s="214"/>
      <c r="JI109" s="214"/>
    </row>
    <row r="110" spans="1:269">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214"/>
      <c r="IQ110" s="214"/>
      <c r="IR110" s="214"/>
      <c r="IS110" s="214"/>
      <c r="IT110" s="214"/>
      <c r="IU110" s="214"/>
      <c r="IV110" s="214"/>
      <c r="IW110" s="214"/>
      <c r="IX110" s="214"/>
      <c r="IY110" s="214"/>
      <c r="IZ110" s="214"/>
      <c r="JA110" s="214"/>
      <c r="JB110" s="214"/>
      <c r="JC110" s="214"/>
      <c r="JD110" s="214"/>
      <c r="JE110" s="214"/>
      <c r="JF110" s="214"/>
      <c r="JG110" s="214"/>
      <c r="JH110" s="214"/>
      <c r="JI110" s="214"/>
    </row>
    <row r="111" spans="1:269">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c r="EO111" s="214"/>
      <c r="EP111" s="214"/>
      <c r="EQ111" s="214"/>
      <c r="ER111" s="214"/>
      <c r="ES111" s="214"/>
      <c r="ET111" s="214"/>
      <c r="EU111" s="214"/>
      <c r="EV111" s="214"/>
      <c r="EW111" s="214"/>
      <c r="EX111" s="214"/>
      <c r="EY111" s="214"/>
      <c r="EZ111" s="214"/>
      <c r="FA111" s="214"/>
      <c r="FB111" s="214"/>
      <c r="FC111" s="214"/>
      <c r="FD111" s="214"/>
      <c r="FE111" s="214"/>
      <c r="FF111" s="214"/>
      <c r="FG111" s="214"/>
      <c r="FH111" s="214"/>
      <c r="FI111" s="214"/>
      <c r="FJ111" s="214"/>
      <c r="FK111" s="214"/>
      <c r="FL111" s="214"/>
      <c r="FM111" s="214"/>
      <c r="FN111" s="214"/>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c r="HI111" s="214"/>
      <c r="HJ111" s="214"/>
      <c r="HK111" s="214"/>
      <c r="HL111" s="214"/>
      <c r="HM111" s="214"/>
      <c r="HN111" s="214"/>
      <c r="HO111" s="214"/>
      <c r="HP111" s="214"/>
      <c r="HQ111" s="214"/>
      <c r="HR111" s="214"/>
      <c r="HS111" s="214"/>
      <c r="HT111" s="214"/>
      <c r="HU111" s="214"/>
      <c r="HV111" s="214"/>
      <c r="HW111" s="214"/>
      <c r="HX111" s="214"/>
      <c r="HY111" s="214"/>
      <c r="HZ111" s="214"/>
      <c r="IA111" s="214"/>
      <c r="IB111" s="214"/>
      <c r="IC111" s="214"/>
      <c r="ID111" s="214"/>
      <c r="IE111" s="214"/>
      <c r="IF111" s="214"/>
      <c r="IG111" s="214"/>
      <c r="IH111" s="214"/>
      <c r="II111" s="214"/>
      <c r="IJ111" s="214"/>
      <c r="IK111" s="214"/>
      <c r="IL111" s="214"/>
      <c r="IM111" s="214"/>
      <c r="IN111" s="214"/>
      <c r="IO111" s="214"/>
      <c r="IP111" s="214"/>
      <c r="IQ111" s="214"/>
      <c r="IR111" s="214"/>
      <c r="IS111" s="214"/>
      <c r="IT111" s="214"/>
      <c r="IU111" s="214"/>
      <c r="IV111" s="214"/>
      <c r="IW111" s="214"/>
      <c r="IX111" s="214"/>
      <c r="IY111" s="214"/>
      <c r="IZ111" s="214"/>
      <c r="JA111" s="214"/>
      <c r="JB111" s="214"/>
      <c r="JC111" s="214"/>
      <c r="JD111" s="214"/>
      <c r="JE111" s="214"/>
      <c r="JF111" s="214"/>
      <c r="JG111" s="214"/>
      <c r="JH111" s="214"/>
      <c r="JI111" s="214"/>
    </row>
    <row r="112" spans="1:269">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c r="EO112" s="214"/>
      <c r="EP112" s="214"/>
      <c r="EQ112" s="214"/>
      <c r="ER112" s="214"/>
      <c r="ES112" s="214"/>
      <c r="ET112" s="214"/>
      <c r="EU112" s="214"/>
      <c r="EV112" s="214"/>
      <c r="EW112" s="214"/>
      <c r="EX112" s="214"/>
      <c r="EY112" s="214"/>
      <c r="EZ112" s="214"/>
      <c r="FA112" s="214"/>
      <c r="FB112" s="214"/>
      <c r="FC112" s="214"/>
      <c r="FD112" s="214"/>
      <c r="FE112" s="214"/>
      <c r="FF112" s="214"/>
      <c r="FG112" s="214"/>
      <c r="FH112" s="214"/>
      <c r="FI112" s="214"/>
      <c r="FJ112" s="214"/>
      <c r="FK112" s="214"/>
      <c r="FL112" s="214"/>
      <c r="FM112" s="214"/>
      <c r="FN112" s="214"/>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c r="ID112" s="214"/>
      <c r="IE112" s="214"/>
      <c r="IF112" s="214"/>
      <c r="IG112" s="214"/>
      <c r="IH112" s="214"/>
      <c r="II112" s="214"/>
      <c r="IJ112" s="214"/>
      <c r="IK112" s="214"/>
      <c r="IL112" s="214"/>
      <c r="IM112" s="214"/>
      <c r="IN112" s="214"/>
      <c r="IO112" s="214"/>
      <c r="IP112" s="214"/>
      <c r="IQ112" s="214"/>
      <c r="IR112" s="214"/>
      <c r="IS112" s="214"/>
      <c r="IT112" s="214"/>
      <c r="IU112" s="214"/>
      <c r="IV112" s="214"/>
      <c r="IW112" s="214"/>
      <c r="IX112" s="214"/>
      <c r="IY112" s="214"/>
      <c r="IZ112" s="214"/>
      <c r="JA112" s="214"/>
      <c r="JB112" s="214"/>
      <c r="JC112" s="214"/>
      <c r="JD112" s="214"/>
      <c r="JE112" s="214"/>
      <c r="JF112" s="214"/>
      <c r="JG112" s="214"/>
      <c r="JH112" s="214"/>
      <c r="JI112" s="214"/>
    </row>
    <row r="113" spans="1:269">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214"/>
      <c r="IQ113" s="214"/>
      <c r="IR113" s="214"/>
      <c r="IS113" s="214"/>
      <c r="IT113" s="214"/>
      <c r="IU113" s="214"/>
      <c r="IV113" s="214"/>
      <c r="IW113" s="214"/>
      <c r="IX113" s="214"/>
      <c r="IY113" s="214"/>
      <c r="IZ113" s="214"/>
      <c r="JA113" s="214"/>
      <c r="JB113" s="214"/>
      <c r="JC113" s="214"/>
      <c r="JD113" s="214"/>
      <c r="JE113" s="214"/>
      <c r="JF113" s="214"/>
      <c r="JG113" s="214"/>
      <c r="JH113" s="214"/>
      <c r="JI113" s="214"/>
    </row>
    <row r="114" spans="1:269">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c r="IM114" s="214"/>
      <c r="IN114" s="214"/>
      <c r="IO114" s="214"/>
      <c r="IP114" s="214"/>
      <c r="IQ114" s="214"/>
      <c r="IR114" s="214"/>
      <c r="IS114" s="214"/>
      <c r="IT114" s="214"/>
      <c r="IU114" s="214"/>
      <c r="IV114" s="214"/>
      <c r="IW114" s="214"/>
      <c r="IX114" s="214"/>
      <c r="IY114" s="214"/>
      <c r="IZ114" s="214"/>
      <c r="JA114" s="214"/>
      <c r="JB114" s="214"/>
      <c r="JC114" s="214"/>
      <c r="JD114" s="214"/>
      <c r="JE114" s="214"/>
      <c r="JF114" s="214"/>
      <c r="JG114" s="214"/>
      <c r="JH114" s="214"/>
      <c r="JI114" s="214"/>
    </row>
    <row r="115" spans="1:269">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c r="EO115" s="214"/>
      <c r="EP115" s="214"/>
      <c r="EQ115" s="214"/>
      <c r="ER115" s="214"/>
      <c r="ES115" s="214"/>
      <c r="ET115" s="214"/>
      <c r="EU115" s="214"/>
      <c r="EV115" s="214"/>
      <c r="EW115" s="214"/>
      <c r="EX115" s="214"/>
      <c r="EY115" s="214"/>
      <c r="EZ115" s="214"/>
      <c r="FA115" s="214"/>
      <c r="FB115" s="214"/>
      <c r="FC115" s="214"/>
      <c r="FD115" s="214"/>
      <c r="FE115" s="214"/>
      <c r="FF115" s="214"/>
      <c r="FG115" s="214"/>
      <c r="FH115" s="214"/>
      <c r="FI115" s="214"/>
      <c r="FJ115" s="214"/>
      <c r="FK115" s="214"/>
      <c r="FL115" s="214"/>
      <c r="FM115" s="214"/>
      <c r="FN115" s="214"/>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214"/>
      <c r="IQ115" s="214"/>
      <c r="IR115" s="214"/>
      <c r="IS115" s="214"/>
      <c r="IT115" s="214"/>
      <c r="IU115" s="214"/>
      <c r="IV115" s="214"/>
      <c r="IW115" s="214"/>
      <c r="IX115" s="214"/>
      <c r="IY115" s="214"/>
      <c r="IZ115" s="214"/>
      <c r="JA115" s="214"/>
      <c r="JB115" s="214"/>
      <c r="JC115" s="214"/>
      <c r="JD115" s="214"/>
      <c r="JE115" s="214"/>
      <c r="JF115" s="214"/>
      <c r="JG115" s="214"/>
      <c r="JH115" s="214"/>
      <c r="JI115" s="214"/>
    </row>
    <row r="116" spans="1:269">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214"/>
      <c r="IQ116" s="214"/>
      <c r="IR116" s="214"/>
      <c r="IS116" s="214"/>
      <c r="IT116" s="214"/>
      <c r="IU116" s="214"/>
      <c r="IV116" s="214"/>
      <c r="IW116" s="214"/>
      <c r="IX116" s="214"/>
      <c r="IY116" s="214"/>
      <c r="IZ116" s="214"/>
      <c r="JA116" s="214"/>
      <c r="JB116" s="214"/>
      <c r="JC116" s="214"/>
      <c r="JD116" s="214"/>
      <c r="JE116" s="214"/>
      <c r="JF116" s="214"/>
      <c r="JG116" s="214"/>
      <c r="JH116" s="214"/>
      <c r="JI116" s="214"/>
    </row>
    <row r="117" spans="1:269">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4"/>
      <c r="HS117" s="214"/>
      <c r="HT117" s="214"/>
      <c r="HU117" s="214"/>
      <c r="HV117" s="214"/>
      <c r="HW117" s="214"/>
      <c r="HX117" s="214"/>
      <c r="HY117" s="214"/>
      <c r="HZ117" s="214"/>
      <c r="IA117" s="214"/>
      <c r="IB117" s="214"/>
      <c r="IC117" s="214"/>
      <c r="ID117" s="214"/>
      <c r="IE117" s="214"/>
      <c r="IF117" s="214"/>
      <c r="IG117" s="214"/>
      <c r="IH117" s="214"/>
      <c r="II117" s="214"/>
      <c r="IJ117" s="214"/>
      <c r="IK117" s="214"/>
      <c r="IL117" s="214"/>
      <c r="IM117" s="214"/>
      <c r="IN117" s="214"/>
      <c r="IO117" s="214"/>
      <c r="IP117" s="214"/>
      <c r="IQ117" s="214"/>
      <c r="IR117" s="214"/>
      <c r="IS117" s="214"/>
      <c r="IT117" s="214"/>
      <c r="IU117" s="214"/>
      <c r="IV117" s="214"/>
      <c r="IW117" s="214"/>
      <c r="IX117" s="214"/>
      <c r="IY117" s="214"/>
      <c r="IZ117" s="214"/>
      <c r="JA117" s="214"/>
      <c r="JB117" s="214"/>
      <c r="JC117" s="214"/>
      <c r="JD117" s="214"/>
      <c r="JE117" s="214"/>
      <c r="JF117" s="214"/>
      <c r="JG117" s="214"/>
      <c r="JH117" s="214"/>
      <c r="JI117" s="214"/>
    </row>
    <row r="118" spans="1:269">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4"/>
      <c r="CP118" s="214"/>
      <c r="CQ118" s="214"/>
      <c r="CR118" s="214"/>
      <c r="CS118" s="214"/>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214"/>
      <c r="DS118" s="214"/>
      <c r="DT118" s="214"/>
      <c r="DU118" s="214"/>
      <c r="DV118" s="214"/>
      <c r="DW118" s="214"/>
      <c r="DX118" s="214"/>
      <c r="DY118" s="214"/>
      <c r="DZ118" s="214"/>
      <c r="EA118" s="214"/>
      <c r="EB118" s="214"/>
      <c r="EC118" s="214"/>
      <c r="ED118" s="214"/>
      <c r="EE118" s="214"/>
      <c r="EF118" s="214"/>
      <c r="EG118" s="214"/>
      <c r="EH118" s="214"/>
      <c r="EI118" s="214"/>
      <c r="EJ118" s="214"/>
      <c r="EK118" s="214"/>
      <c r="EL118" s="214"/>
      <c r="EM118" s="214"/>
      <c r="EN118" s="214"/>
      <c r="EO118" s="214"/>
      <c r="EP118" s="214"/>
      <c r="EQ118" s="214"/>
      <c r="ER118" s="214"/>
      <c r="ES118" s="214"/>
      <c r="ET118" s="214"/>
      <c r="EU118" s="214"/>
      <c r="EV118" s="214"/>
      <c r="EW118" s="214"/>
      <c r="EX118" s="214"/>
      <c r="EY118" s="214"/>
      <c r="EZ118" s="214"/>
      <c r="FA118" s="214"/>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c r="HI118" s="214"/>
      <c r="HJ118" s="214"/>
      <c r="HK118" s="214"/>
      <c r="HL118" s="214"/>
      <c r="HM118" s="214"/>
      <c r="HN118" s="214"/>
      <c r="HO118" s="214"/>
      <c r="HP118" s="214"/>
      <c r="HQ118" s="214"/>
      <c r="HR118" s="214"/>
      <c r="HS118" s="214"/>
      <c r="HT118" s="214"/>
      <c r="HU118" s="214"/>
      <c r="HV118" s="214"/>
      <c r="HW118" s="214"/>
      <c r="HX118" s="214"/>
      <c r="HY118" s="214"/>
      <c r="HZ118" s="214"/>
      <c r="IA118" s="214"/>
      <c r="IB118" s="214"/>
      <c r="IC118" s="214"/>
      <c r="ID118" s="214"/>
      <c r="IE118" s="214"/>
      <c r="IF118" s="214"/>
      <c r="IG118" s="214"/>
      <c r="IH118" s="214"/>
      <c r="II118" s="214"/>
      <c r="IJ118" s="214"/>
      <c r="IK118" s="214"/>
      <c r="IL118" s="214"/>
      <c r="IM118" s="214"/>
      <c r="IN118" s="214"/>
      <c r="IO118" s="214"/>
      <c r="IP118" s="214"/>
      <c r="IQ118" s="214"/>
      <c r="IR118" s="214"/>
      <c r="IS118" s="214"/>
      <c r="IT118" s="214"/>
      <c r="IU118" s="214"/>
      <c r="IV118" s="214"/>
      <c r="IW118" s="214"/>
      <c r="IX118" s="214"/>
      <c r="IY118" s="214"/>
      <c r="IZ118" s="214"/>
      <c r="JA118" s="214"/>
      <c r="JB118" s="214"/>
      <c r="JC118" s="214"/>
      <c r="JD118" s="214"/>
      <c r="JE118" s="214"/>
      <c r="JF118" s="214"/>
      <c r="JG118" s="214"/>
      <c r="JH118" s="214"/>
      <c r="JI118" s="214"/>
    </row>
    <row r="119" spans="1:269">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c r="IM119" s="214"/>
      <c r="IN119" s="214"/>
      <c r="IO119" s="214"/>
      <c r="IP119" s="214"/>
      <c r="IQ119" s="214"/>
      <c r="IR119" s="214"/>
      <c r="IS119" s="214"/>
      <c r="IT119" s="214"/>
      <c r="IU119" s="214"/>
      <c r="IV119" s="214"/>
      <c r="IW119" s="214"/>
      <c r="IX119" s="214"/>
      <c r="IY119" s="214"/>
      <c r="IZ119" s="214"/>
      <c r="JA119" s="214"/>
      <c r="JB119" s="214"/>
      <c r="JC119" s="214"/>
      <c r="JD119" s="214"/>
      <c r="JE119" s="214"/>
      <c r="JF119" s="214"/>
      <c r="JG119" s="214"/>
      <c r="JH119" s="214"/>
      <c r="JI119" s="214"/>
    </row>
    <row r="120" spans="1:269">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c r="IJ120" s="214"/>
      <c r="IK120" s="214"/>
      <c r="IL120" s="214"/>
      <c r="IM120" s="214"/>
      <c r="IN120" s="214"/>
      <c r="IO120" s="214"/>
      <c r="IP120" s="214"/>
      <c r="IQ120" s="214"/>
      <c r="IR120" s="214"/>
      <c r="IS120" s="214"/>
      <c r="IT120" s="214"/>
      <c r="IU120" s="214"/>
      <c r="IV120" s="214"/>
      <c r="IW120" s="214"/>
      <c r="IX120" s="214"/>
      <c r="IY120" s="214"/>
      <c r="IZ120" s="214"/>
      <c r="JA120" s="214"/>
      <c r="JB120" s="214"/>
      <c r="JC120" s="214"/>
      <c r="JD120" s="214"/>
      <c r="JE120" s="214"/>
      <c r="JF120" s="214"/>
      <c r="JG120" s="214"/>
      <c r="JH120" s="214"/>
      <c r="JI120" s="214"/>
    </row>
    <row r="121" spans="1:269">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14"/>
      <c r="CA121" s="214"/>
      <c r="CB121" s="214"/>
      <c r="CC121" s="214"/>
      <c r="CD121" s="214"/>
      <c r="CE121" s="214"/>
      <c r="CF121" s="214"/>
      <c r="CG121" s="214"/>
      <c r="CH121" s="214"/>
      <c r="CI121" s="214"/>
      <c r="CJ121" s="214"/>
      <c r="CK121" s="214"/>
      <c r="CL121" s="214"/>
      <c r="CM121" s="214"/>
      <c r="CN121" s="214"/>
      <c r="CO121" s="214"/>
      <c r="CP121" s="214"/>
      <c r="CQ121" s="214"/>
      <c r="CR121" s="214"/>
      <c r="CS121" s="214"/>
      <c r="CT121" s="214"/>
      <c r="CU121" s="214"/>
      <c r="CV121" s="214"/>
      <c r="CW121" s="214"/>
      <c r="CX121" s="214"/>
      <c r="CY121" s="214"/>
      <c r="CZ121" s="214"/>
      <c r="DA121" s="214"/>
      <c r="DB121" s="214"/>
      <c r="DC121" s="214"/>
      <c r="DD121" s="214"/>
      <c r="DE121" s="214"/>
      <c r="DF121" s="214"/>
      <c r="DG121" s="214"/>
      <c r="DH121" s="214"/>
      <c r="DI121" s="214"/>
      <c r="DJ121" s="214"/>
      <c r="DK121" s="214"/>
      <c r="DL121" s="214"/>
      <c r="DM121" s="214"/>
      <c r="DN121" s="214"/>
      <c r="DO121" s="214"/>
      <c r="DP121" s="214"/>
      <c r="DQ121" s="214"/>
      <c r="DR121" s="214"/>
      <c r="DS121" s="214"/>
      <c r="DT121" s="214"/>
      <c r="DU121" s="214"/>
      <c r="DV121" s="214"/>
      <c r="DW121" s="214"/>
      <c r="DX121" s="214"/>
      <c r="DY121" s="214"/>
      <c r="DZ121" s="214"/>
      <c r="EA121" s="214"/>
      <c r="EB121" s="214"/>
      <c r="EC121" s="214"/>
      <c r="ED121" s="214"/>
      <c r="EE121" s="214"/>
      <c r="EF121" s="214"/>
      <c r="EG121" s="214"/>
      <c r="EH121" s="214"/>
      <c r="EI121" s="214"/>
      <c r="EJ121" s="214"/>
      <c r="EK121" s="214"/>
      <c r="EL121" s="214"/>
      <c r="EM121" s="214"/>
      <c r="EN121" s="214"/>
      <c r="EO121" s="214"/>
      <c r="EP121" s="214"/>
      <c r="EQ121" s="214"/>
      <c r="ER121" s="214"/>
      <c r="ES121" s="214"/>
      <c r="ET121" s="214"/>
      <c r="EU121" s="214"/>
      <c r="EV121" s="214"/>
      <c r="EW121" s="214"/>
      <c r="EX121" s="214"/>
      <c r="EY121" s="214"/>
      <c r="EZ121" s="214"/>
      <c r="FA121" s="214"/>
      <c r="FB121" s="214"/>
      <c r="FC121" s="214"/>
      <c r="FD121" s="214"/>
      <c r="FE121" s="214"/>
      <c r="FF121" s="214"/>
      <c r="FG121" s="214"/>
      <c r="FH121" s="214"/>
      <c r="FI121" s="214"/>
      <c r="FJ121" s="214"/>
      <c r="FK121" s="214"/>
      <c r="FL121" s="214"/>
      <c r="FM121" s="214"/>
      <c r="FN121" s="214"/>
      <c r="FO121" s="214"/>
      <c r="FP121" s="214"/>
      <c r="FQ121" s="214"/>
      <c r="FR121" s="214"/>
      <c r="FS121" s="214"/>
      <c r="FT121" s="214"/>
      <c r="FU121" s="214"/>
      <c r="FV121" s="214"/>
      <c r="FW121" s="214"/>
      <c r="FX121" s="214"/>
      <c r="FY121" s="214"/>
      <c r="FZ121" s="214"/>
      <c r="GA121" s="214"/>
      <c r="GB121" s="214"/>
      <c r="GC121" s="214"/>
      <c r="GD121" s="214"/>
      <c r="GE121" s="214"/>
      <c r="GF121" s="214"/>
      <c r="GG121" s="214"/>
      <c r="GH121" s="214"/>
      <c r="GI121" s="214"/>
      <c r="GJ121" s="214"/>
      <c r="GK121" s="214"/>
      <c r="GL121" s="214"/>
      <c r="GM121" s="214"/>
      <c r="GN121" s="214"/>
      <c r="GO121" s="214"/>
      <c r="GP121" s="214"/>
      <c r="GQ121" s="214"/>
      <c r="GR121" s="214"/>
      <c r="GS121" s="214"/>
      <c r="GT121" s="214"/>
      <c r="GU121" s="214"/>
      <c r="GV121" s="214"/>
      <c r="GW121" s="214"/>
      <c r="GX121" s="214"/>
      <c r="GY121" s="214"/>
      <c r="GZ121" s="214"/>
      <c r="HA121" s="214"/>
      <c r="HB121" s="214"/>
      <c r="HC121" s="214"/>
      <c r="HD121" s="214"/>
      <c r="HE121" s="214"/>
      <c r="HF121" s="214"/>
      <c r="HG121" s="214"/>
      <c r="HH121" s="214"/>
      <c r="HI121" s="214"/>
      <c r="HJ121" s="214"/>
      <c r="HK121" s="214"/>
      <c r="HL121" s="214"/>
      <c r="HM121" s="214"/>
      <c r="HN121" s="214"/>
      <c r="HO121" s="214"/>
      <c r="HP121" s="214"/>
      <c r="HQ121" s="214"/>
      <c r="HR121" s="214"/>
      <c r="HS121" s="214"/>
      <c r="HT121" s="214"/>
      <c r="HU121" s="214"/>
      <c r="HV121" s="214"/>
      <c r="HW121" s="214"/>
      <c r="HX121" s="214"/>
      <c r="HY121" s="214"/>
      <c r="HZ121" s="214"/>
      <c r="IA121" s="214"/>
      <c r="IB121" s="214"/>
      <c r="IC121" s="214"/>
      <c r="ID121" s="214"/>
      <c r="IE121" s="214"/>
      <c r="IF121" s="214"/>
      <c r="IG121" s="214"/>
      <c r="IH121" s="214"/>
      <c r="II121" s="214"/>
      <c r="IJ121" s="214"/>
      <c r="IK121" s="214"/>
      <c r="IL121" s="214"/>
      <c r="IM121" s="214"/>
      <c r="IN121" s="214"/>
      <c r="IO121" s="214"/>
      <c r="IP121" s="214"/>
      <c r="IQ121" s="214"/>
      <c r="IR121" s="214"/>
      <c r="IS121" s="214"/>
      <c r="IT121" s="214"/>
      <c r="IU121" s="214"/>
      <c r="IV121" s="214"/>
      <c r="IW121" s="214"/>
      <c r="IX121" s="214"/>
      <c r="IY121" s="214"/>
      <c r="IZ121" s="214"/>
      <c r="JA121" s="214"/>
      <c r="JB121" s="214"/>
      <c r="JC121" s="214"/>
      <c r="JD121" s="214"/>
      <c r="JE121" s="214"/>
      <c r="JF121" s="214"/>
      <c r="JG121" s="214"/>
      <c r="JH121" s="214"/>
      <c r="JI121" s="214"/>
    </row>
    <row r="122" spans="1:269">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214"/>
      <c r="CL122" s="214"/>
      <c r="CM122" s="214"/>
      <c r="CN122" s="214"/>
      <c r="CO122" s="214"/>
      <c r="CP122" s="214"/>
      <c r="CQ122" s="214"/>
      <c r="CR122" s="214"/>
      <c r="CS122" s="214"/>
      <c r="CT122" s="214"/>
      <c r="CU122" s="214"/>
      <c r="CV122" s="214"/>
      <c r="CW122" s="214"/>
      <c r="CX122" s="214"/>
      <c r="CY122" s="214"/>
      <c r="CZ122" s="214"/>
      <c r="DA122" s="214"/>
      <c r="DB122" s="214"/>
      <c r="DC122" s="214"/>
      <c r="DD122" s="214"/>
      <c r="DE122" s="214"/>
      <c r="DF122" s="214"/>
      <c r="DG122" s="214"/>
      <c r="DH122" s="214"/>
      <c r="DI122" s="214"/>
      <c r="DJ122" s="214"/>
      <c r="DK122" s="214"/>
      <c r="DL122" s="214"/>
      <c r="DM122" s="214"/>
      <c r="DN122" s="214"/>
      <c r="DO122" s="214"/>
      <c r="DP122" s="214"/>
      <c r="DQ122" s="214"/>
      <c r="DR122" s="214"/>
      <c r="DS122" s="214"/>
      <c r="DT122" s="214"/>
      <c r="DU122" s="214"/>
      <c r="DV122" s="214"/>
      <c r="DW122" s="214"/>
      <c r="DX122" s="214"/>
      <c r="DY122" s="214"/>
      <c r="DZ122" s="214"/>
      <c r="EA122" s="214"/>
      <c r="EB122" s="214"/>
      <c r="EC122" s="214"/>
      <c r="ED122" s="214"/>
      <c r="EE122" s="214"/>
      <c r="EF122" s="214"/>
      <c r="EG122" s="214"/>
      <c r="EH122" s="214"/>
      <c r="EI122" s="214"/>
      <c r="EJ122" s="214"/>
      <c r="EK122" s="214"/>
      <c r="EL122" s="214"/>
      <c r="EM122" s="214"/>
      <c r="EN122" s="214"/>
      <c r="EO122" s="214"/>
      <c r="EP122" s="214"/>
      <c r="EQ122" s="214"/>
      <c r="ER122" s="214"/>
      <c r="ES122" s="214"/>
      <c r="ET122" s="214"/>
      <c r="EU122" s="214"/>
      <c r="EV122" s="214"/>
      <c r="EW122" s="214"/>
      <c r="EX122" s="214"/>
      <c r="EY122" s="214"/>
      <c r="EZ122" s="214"/>
      <c r="FA122" s="214"/>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c r="HI122" s="214"/>
      <c r="HJ122" s="214"/>
      <c r="HK122" s="214"/>
      <c r="HL122" s="214"/>
      <c r="HM122" s="214"/>
      <c r="HN122" s="214"/>
      <c r="HO122" s="214"/>
      <c r="HP122" s="214"/>
      <c r="HQ122" s="214"/>
      <c r="HR122" s="214"/>
      <c r="HS122" s="214"/>
      <c r="HT122" s="214"/>
      <c r="HU122" s="214"/>
      <c r="HV122" s="214"/>
      <c r="HW122" s="214"/>
      <c r="HX122" s="214"/>
      <c r="HY122" s="214"/>
      <c r="HZ122" s="214"/>
      <c r="IA122" s="214"/>
      <c r="IB122" s="214"/>
      <c r="IC122" s="214"/>
      <c r="ID122" s="214"/>
      <c r="IE122" s="214"/>
      <c r="IF122" s="214"/>
      <c r="IG122" s="214"/>
      <c r="IH122" s="214"/>
      <c r="II122" s="214"/>
      <c r="IJ122" s="214"/>
      <c r="IK122" s="214"/>
      <c r="IL122" s="214"/>
      <c r="IM122" s="214"/>
      <c r="IN122" s="214"/>
      <c r="IO122" s="214"/>
      <c r="IP122" s="214"/>
      <c r="IQ122" s="214"/>
      <c r="IR122" s="214"/>
      <c r="IS122" s="214"/>
      <c r="IT122" s="214"/>
      <c r="IU122" s="214"/>
      <c r="IV122" s="214"/>
      <c r="IW122" s="214"/>
      <c r="IX122" s="214"/>
      <c r="IY122" s="214"/>
      <c r="IZ122" s="214"/>
      <c r="JA122" s="214"/>
      <c r="JB122" s="214"/>
      <c r="JC122" s="214"/>
      <c r="JD122" s="214"/>
      <c r="JE122" s="214"/>
      <c r="JF122" s="214"/>
      <c r="JG122" s="214"/>
      <c r="JH122" s="214"/>
      <c r="JI122" s="214"/>
    </row>
    <row r="123" spans="1:269">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214"/>
      <c r="IQ123" s="214"/>
      <c r="IR123" s="214"/>
      <c r="IS123" s="214"/>
      <c r="IT123" s="214"/>
      <c r="IU123" s="214"/>
      <c r="IV123" s="214"/>
      <c r="IW123" s="214"/>
      <c r="IX123" s="214"/>
      <c r="IY123" s="214"/>
      <c r="IZ123" s="214"/>
      <c r="JA123" s="214"/>
      <c r="JB123" s="214"/>
      <c r="JC123" s="214"/>
      <c r="JD123" s="214"/>
      <c r="JE123" s="214"/>
      <c r="JF123" s="214"/>
      <c r="JG123" s="214"/>
      <c r="JH123" s="214"/>
      <c r="JI123" s="214"/>
    </row>
    <row r="124" spans="1:269">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214"/>
      <c r="EB124" s="214"/>
      <c r="EC124" s="214"/>
      <c r="ED124" s="214"/>
      <c r="EE124" s="214"/>
      <c r="EF124" s="214"/>
      <c r="EG124" s="214"/>
      <c r="EH124" s="214"/>
      <c r="EI124" s="214"/>
      <c r="EJ124" s="214"/>
      <c r="EK124" s="214"/>
      <c r="EL124" s="214"/>
      <c r="EM124" s="214"/>
      <c r="EN124" s="214"/>
      <c r="EO124" s="214"/>
      <c r="EP124" s="214"/>
      <c r="EQ124" s="214"/>
      <c r="ER124" s="214"/>
      <c r="ES124" s="214"/>
      <c r="ET124" s="214"/>
      <c r="EU124" s="214"/>
      <c r="EV124" s="214"/>
      <c r="EW124" s="214"/>
      <c r="EX124" s="214"/>
      <c r="EY124" s="214"/>
      <c r="EZ124" s="214"/>
      <c r="FA124" s="214"/>
      <c r="FB124" s="214"/>
      <c r="FC124" s="214"/>
      <c r="FD124" s="214"/>
      <c r="FE124" s="214"/>
      <c r="FF124" s="214"/>
      <c r="FG124" s="214"/>
      <c r="FH124" s="214"/>
      <c r="FI124" s="214"/>
      <c r="FJ124" s="214"/>
      <c r="FK124" s="214"/>
      <c r="FL124" s="214"/>
      <c r="FM124" s="214"/>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214"/>
      <c r="IQ124" s="214"/>
      <c r="IR124" s="214"/>
      <c r="IS124" s="214"/>
      <c r="IT124" s="214"/>
      <c r="IU124" s="214"/>
      <c r="IV124" s="214"/>
      <c r="IW124" s="214"/>
      <c r="IX124" s="214"/>
      <c r="IY124" s="214"/>
      <c r="IZ124" s="214"/>
      <c r="JA124" s="214"/>
      <c r="JB124" s="214"/>
      <c r="JC124" s="214"/>
      <c r="JD124" s="214"/>
      <c r="JE124" s="214"/>
      <c r="JF124" s="214"/>
      <c r="JG124" s="214"/>
      <c r="JH124" s="214"/>
      <c r="JI124" s="214"/>
    </row>
    <row r="125" spans="1:269">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214"/>
      <c r="IQ125" s="214"/>
      <c r="IR125" s="214"/>
      <c r="IS125" s="214"/>
      <c r="IT125" s="214"/>
      <c r="IU125" s="214"/>
      <c r="IV125" s="214"/>
      <c r="IW125" s="214"/>
      <c r="IX125" s="214"/>
      <c r="IY125" s="214"/>
      <c r="IZ125" s="214"/>
      <c r="JA125" s="214"/>
      <c r="JB125" s="214"/>
      <c r="JC125" s="214"/>
      <c r="JD125" s="214"/>
      <c r="JE125" s="214"/>
      <c r="JF125" s="214"/>
      <c r="JG125" s="214"/>
      <c r="JH125" s="214"/>
      <c r="JI125" s="214"/>
    </row>
    <row r="126" spans="1:269">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214"/>
      <c r="IQ126" s="214"/>
      <c r="IR126" s="214"/>
      <c r="IS126" s="214"/>
      <c r="IT126" s="214"/>
      <c r="IU126" s="214"/>
      <c r="IV126" s="214"/>
      <c r="IW126" s="214"/>
      <c r="IX126" s="214"/>
      <c r="IY126" s="214"/>
      <c r="IZ126" s="214"/>
      <c r="JA126" s="214"/>
      <c r="JB126" s="214"/>
      <c r="JC126" s="214"/>
      <c r="JD126" s="214"/>
      <c r="JE126" s="214"/>
      <c r="JF126" s="214"/>
      <c r="JG126" s="214"/>
      <c r="JH126" s="214"/>
      <c r="JI126" s="214"/>
    </row>
    <row r="127" spans="1:269">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14"/>
      <c r="CA127" s="214"/>
      <c r="CB127" s="214"/>
      <c r="CC127" s="214"/>
      <c r="CD127" s="214"/>
      <c r="CE127" s="214"/>
      <c r="CF127" s="214"/>
      <c r="CG127" s="214"/>
      <c r="CH127" s="214"/>
      <c r="CI127" s="214"/>
      <c r="CJ127" s="214"/>
      <c r="CK127" s="214"/>
      <c r="CL127" s="214"/>
      <c r="CM127" s="214"/>
      <c r="CN127" s="214"/>
      <c r="CO127" s="214"/>
      <c r="CP127" s="214"/>
      <c r="CQ127" s="214"/>
      <c r="CR127" s="214"/>
      <c r="CS127" s="214"/>
      <c r="CT127" s="214"/>
      <c r="CU127" s="214"/>
      <c r="CV127" s="214"/>
      <c r="CW127" s="214"/>
      <c r="CX127" s="214"/>
      <c r="CY127" s="214"/>
      <c r="CZ127" s="214"/>
      <c r="DA127" s="214"/>
      <c r="DB127" s="214"/>
      <c r="DC127" s="214"/>
      <c r="DD127" s="214"/>
      <c r="DE127" s="214"/>
      <c r="DF127" s="214"/>
      <c r="DG127" s="214"/>
      <c r="DH127" s="214"/>
      <c r="DI127" s="214"/>
      <c r="DJ127" s="214"/>
      <c r="DK127" s="214"/>
      <c r="DL127" s="214"/>
      <c r="DM127" s="214"/>
      <c r="DN127" s="214"/>
      <c r="DO127" s="214"/>
      <c r="DP127" s="214"/>
      <c r="DQ127" s="214"/>
      <c r="DR127" s="214"/>
      <c r="DS127" s="214"/>
      <c r="DT127" s="214"/>
      <c r="DU127" s="214"/>
      <c r="DV127" s="214"/>
      <c r="DW127" s="214"/>
      <c r="DX127" s="214"/>
      <c r="DY127" s="214"/>
      <c r="DZ127" s="214"/>
      <c r="EA127" s="214"/>
      <c r="EB127" s="214"/>
      <c r="EC127" s="214"/>
      <c r="ED127" s="214"/>
      <c r="EE127" s="214"/>
      <c r="EF127" s="214"/>
      <c r="EG127" s="214"/>
      <c r="EH127" s="214"/>
      <c r="EI127" s="214"/>
      <c r="EJ127" s="214"/>
      <c r="EK127" s="214"/>
      <c r="EL127" s="214"/>
      <c r="EM127" s="214"/>
      <c r="EN127" s="214"/>
      <c r="EO127" s="214"/>
      <c r="EP127" s="214"/>
      <c r="EQ127" s="214"/>
      <c r="ER127" s="214"/>
      <c r="ES127" s="214"/>
      <c r="ET127" s="214"/>
      <c r="EU127" s="214"/>
      <c r="EV127" s="214"/>
      <c r="EW127" s="214"/>
      <c r="EX127" s="214"/>
      <c r="EY127" s="214"/>
      <c r="EZ127" s="214"/>
      <c r="FA127" s="214"/>
      <c r="FB127" s="214"/>
      <c r="FC127" s="214"/>
      <c r="FD127" s="214"/>
      <c r="FE127" s="214"/>
      <c r="FF127" s="214"/>
      <c r="FG127" s="214"/>
      <c r="FH127" s="214"/>
      <c r="FI127" s="214"/>
      <c r="FJ127" s="214"/>
      <c r="FK127" s="214"/>
      <c r="FL127" s="214"/>
      <c r="FM127" s="214"/>
      <c r="FN127" s="214"/>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c r="HI127" s="214"/>
      <c r="HJ127" s="214"/>
      <c r="HK127" s="214"/>
      <c r="HL127" s="214"/>
      <c r="HM127" s="214"/>
      <c r="HN127" s="214"/>
      <c r="HO127" s="214"/>
      <c r="HP127" s="214"/>
      <c r="HQ127" s="214"/>
      <c r="HR127" s="214"/>
      <c r="HS127" s="214"/>
      <c r="HT127" s="214"/>
      <c r="HU127" s="214"/>
      <c r="HV127" s="214"/>
      <c r="HW127" s="214"/>
      <c r="HX127" s="214"/>
      <c r="HY127" s="214"/>
      <c r="HZ127" s="214"/>
      <c r="IA127" s="214"/>
      <c r="IB127" s="214"/>
      <c r="IC127" s="214"/>
      <c r="ID127" s="214"/>
      <c r="IE127" s="214"/>
      <c r="IF127" s="214"/>
      <c r="IG127" s="214"/>
      <c r="IH127" s="214"/>
      <c r="II127" s="214"/>
      <c r="IJ127" s="214"/>
      <c r="IK127" s="214"/>
      <c r="IL127" s="214"/>
      <c r="IM127" s="214"/>
      <c r="IN127" s="214"/>
      <c r="IO127" s="214"/>
      <c r="IP127" s="214"/>
      <c r="IQ127" s="214"/>
      <c r="IR127" s="214"/>
      <c r="IS127" s="214"/>
      <c r="IT127" s="214"/>
      <c r="IU127" s="214"/>
      <c r="IV127" s="214"/>
      <c r="IW127" s="214"/>
      <c r="IX127" s="214"/>
      <c r="IY127" s="214"/>
      <c r="IZ127" s="214"/>
      <c r="JA127" s="214"/>
      <c r="JB127" s="214"/>
      <c r="JC127" s="214"/>
      <c r="JD127" s="214"/>
      <c r="JE127" s="214"/>
      <c r="JF127" s="214"/>
      <c r="JG127" s="214"/>
      <c r="JH127" s="214"/>
      <c r="JI127" s="214"/>
    </row>
    <row r="128" spans="1:269">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214"/>
      <c r="IQ128" s="214"/>
      <c r="IR128" s="214"/>
      <c r="IS128" s="214"/>
      <c r="IT128" s="214"/>
      <c r="IU128" s="214"/>
      <c r="IV128" s="214"/>
      <c r="IW128" s="214"/>
      <c r="IX128" s="214"/>
      <c r="IY128" s="214"/>
      <c r="IZ128" s="214"/>
      <c r="JA128" s="214"/>
      <c r="JB128" s="214"/>
      <c r="JC128" s="214"/>
      <c r="JD128" s="214"/>
      <c r="JE128" s="214"/>
      <c r="JF128" s="214"/>
      <c r="JG128" s="214"/>
      <c r="JH128" s="214"/>
      <c r="JI128" s="214"/>
    </row>
    <row r="129" spans="1:269">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4"/>
      <c r="HS129" s="214"/>
      <c r="HT129" s="214"/>
      <c r="HU129" s="214"/>
      <c r="HV129" s="214"/>
      <c r="HW129" s="214"/>
      <c r="HX129" s="214"/>
      <c r="HY129" s="214"/>
      <c r="HZ129" s="214"/>
      <c r="IA129" s="214"/>
      <c r="IB129" s="214"/>
      <c r="IC129" s="214"/>
      <c r="ID129" s="214"/>
      <c r="IE129" s="214"/>
      <c r="IF129" s="214"/>
      <c r="IG129" s="214"/>
      <c r="IH129" s="214"/>
      <c r="II129" s="214"/>
      <c r="IJ129" s="214"/>
      <c r="IK129" s="214"/>
      <c r="IL129" s="214"/>
      <c r="IM129" s="214"/>
      <c r="IN129" s="214"/>
      <c r="IO129" s="214"/>
      <c r="IP129" s="214"/>
      <c r="IQ129" s="214"/>
      <c r="IR129" s="214"/>
      <c r="IS129" s="214"/>
      <c r="IT129" s="214"/>
      <c r="IU129" s="214"/>
      <c r="IV129" s="214"/>
      <c r="IW129" s="214"/>
      <c r="IX129" s="214"/>
      <c r="IY129" s="214"/>
      <c r="IZ129" s="214"/>
      <c r="JA129" s="214"/>
      <c r="JB129" s="214"/>
      <c r="JC129" s="214"/>
      <c r="JD129" s="214"/>
      <c r="JE129" s="214"/>
      <c r="JF129" s="214"/>
      <c r="JG129" s="214"/>
      <c r="JH129" s="214"/>
      <c r="JI129" s="214"/>
    </row>
    <row r="130" spans="1:269">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214"/>
      <c r="DQ130" s="214"/>
      <c r="DR130" s="214"/>
      <c r="DS130" s="214"/>
      <c r="DT130" s="214"/>
      <c r="DU130" s="214"/>
      <c r="DV130" s="214"/>
      <c r="DW130" s="214"/>
      <c r="DX130" s="214"/>
      <c r="DY130" s="214"/>
      <c r="DZ130" s="214"/>
      <c r="EA130" s="214"/>
      <c r="EB130" s="214"/>
      <c r="EC130" s="214"/>
      <c r="ED130" s="214"/>
      <c r="EE130" s="214"/>
      <c r="EF130" s="214"/>
      <c r="EG130" s="214"/>
      <c r="EH130" s="214"/>
      <c r="EI130" s="214"/>
      <c r="EJ130" s="214"/>
      <c r="EK130" s="214"/>
      <c r="EL130" s="214"/>
      <c r="EM130" s="214"/>
      <c r="EN130" s="214"/>
      <c r="EO130" s="214"/>
      <c r="EP130" s="214"/>
      <c r="EQ130" s="214"/>
      <c r="ER130" s="214"/>
      <c r="ES130" s="214"/>
      <c r="ET130" s="214"/>
      <c r="EU130" s="214"/>
      <c r="EV130" s="214"/>
      <c r="EW130" s="214"/>
      <c r="EX130" s="214"/>
      <c r="EY130" s="214"/>
      <c r="EZ130" s="214"/>
      <c r="FA130" s="214"/>
      <c r="FB130" s="214"/>
      <c r="FC130" s="214"/>
      <c r="FD130" s="214"/>
      <c r="FE130" s="214"/>
      <c r="FF130" s="214"/>
      <c r="FG130" s="214"/>
      <c r="FH130" s="214"/>
      <c r="FI130" s="214"/>
      <c r="FJ130" s="214"/>
      <c r="FK130" s="214"/>
      <c r="FL130" s="214"/>
      <c r="FM130" s="214"/>
      <c r="FN130" s="214"/>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c r="HI130" s="214"/>
      <c r="HJ130" s="214"/>
      <c r="HK130" s="214"/>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214"/>
      <c r="IQ130" s="214"/>
      <c r="IR130" s="214"/>
      <c r="IS130" s="214"/>
      <c r="IT130" s="214"/>
      <c r="IU130" s="214"/>
      <c r="IV130" s="214"/>
      <c r="IW130" s="214"/>
      <c r="IX130" s="214"/>
      <c r="IY130" s="214"/>
      <c r="IZ130" s="214"/>
      <c r="JA130" s="214"/>
      <c r="JB130" s="214"/>
      <c r="JC130" s="214"/>
      <c r="JD130" s="214"/>
      <c r="JE130" s="214"/>
      <c r="JF130" s="214"/>
      <c r="JG130" s="214"/>
      <c r="JH130" s="214"/>
      <c r="JI130" s="214"/>
    </row>
    <row r="131" spans="1:269">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214"/>
      <c r="IQ131" s="214"/>
      <c r="IR131" s="214"/>
      <c r="IS131" s="214"/>
      <c r="IT131" s="214"/>
      <c r="IU131" s="214"/>
      <c r="IV131" s="214"/>
      <c r="IW131" s="214"/>
      <c r="IX131" s="214"/>
      <c r="IY131" s="214"/>
      <c r="IZ131" s="214"/>
      <c r="JA131" s="214"/>
      <c r="JB131" s="214"/>
      <c r="JC131" s="214"/>
      <c r="JD131" s="214"/>
      <c r="JE131" s="214"/>
      <c r="JF131" s="214"/>
      <c r="JG131" s="214"/>
      <c r="JH131" s="214"/>
      <c r="JI131" s="214"/>
    </row>
    <row r="132" spans="1:269">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c r="IT132" s="214"/>
      <c r="IU132" s="214"/>
      <c r="IV132" s="214"/>
      <c r="IW132" s="214"/>
      <c r="IX132" s="214"/>
      <c r="IY132" s="214"/>
      <c r="IZ132" s="214"/>
      <c r="JA132" s="214"/>
      <c r="JB132" s="214"/>
      <c r="JC132" s="214"/>
      <c r="JD132" s="214"/>
      <c r="JE132" s="214"/>
      <c r="JF132" s="214"/>
      <c r="JG132" s="214"/>
      <c r="JH132" s="214"/>
      <c r="JI132" s="214"/>
    </row>
    <row r="133" spans="1:269">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c r="IT133" s="214"/>
      <c r="IU133" s="214"/>
      <c r="IV133" s="214"/>
      <c r="IW133" s="214"/>
      <c r="IX133" s="214"/>
      <c r="IY133" s="214"/>
      <c r="IZ133" s="214"/>
      <c r="JA133" s="214"/>
      <c r="JB133" s="214"/>
      <c r="JC133" s="214"/>
      <c r="JD133" s="214"/>
      <c r="JE133" s="214"/>
      <c r="JF133" s="214"/>
      <c r="JG133" s="214"/>
      <c r="JH133" s="214"/>
      <c r="JI133" s="214"/>
    </row>
    <row r="134" spans="1:269">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c r="IT134" s="214"/>
      <c r="IU134" s="214"/>
      <c r="IV134" s="214"/>
      <c r="IW134" s="214"/>
      <c r="IX134" s="214"/>
      <c r="IY134" s="214"/>
      <c r="IZ134" s="214"/>
      <c r="JA134" s="214"/>
      <c r="JB134" s="214"/>
      <c r="JC134" s="214"/>
      <c r="JD134" s="214"/>
      <c r="JE134" s="214"/>
      <c r="JF134" s="214"/>
      <c r="JG134" s="214"/>
      <c r="JH134" s="214"/>
      <c r="JI134" s="214"/>
    </row>
    <row r="135" spans="1:269">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c r="IT135" s="214"/>
      <c r="IU135" s="214"/>
      <c r="IV135" s="214"/>
      <c r="IW135" s="214"/>
      <c r="IX135" s="214"/>
      <c r="IY135" s="214"/>
      <c r="IZ135" s="214"/>
      <c r="JA135" s="214"/>
      <c r="JB135" s="214"/>
      <c r="JC135" s="214"/>
      <c r="JD135" s="214"/>
      <c r="JE135" s="214"/>
      <c r="JF135" s="214"/>
      <c r="JG135" s="214"/>
      <c r="JH135" s="214"/>
      <c r="JI135" s="214"/>
    </row>
    <row r="136" spans="1:269">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c r="IT136" s="214"/>
      <c r="IU136" s="214"/>
      <c r="IV136" s="214"/>
      <c r="IW136" s="214"/>
      <c r="IX136" s="214"/>
      <c r="IY136" s="214"/>
      <c r="IZ136" s="214"/>
      <c r="JA136" s="214"/>
      <c r="JB136" s="214"/>
      <c r="JC136" s="214"/>
      <c r="JD136" s="214"/>
      <c r="JE136" s="214"/>
      <c r="JF136" s="214"/>
      <c r="JG136" s="214"/>
      <c r="JH136" s="214"/>
      <c r="JI136" s="214"/>
    </row>
    <row r="137" spans="1:269">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c r="IT137" s="214"/>
      <c r="IU137" s="214"/>
      <c r="IV137" s="214"/>
      <c r="IW137" s="214"/>
      <c r="IX137" s="214"/>
      <c r="IY137" s="214"/>
      <c r="IZ137" s="214"/>
      <c r="JA137" s="214"/>
      <c r="JB137" s="214"/>
      <c r="JC137" s="214"/>
      <c r="JD137" s="214"/>
      <c r="JE137" s="214"/>
      <c r="JF137" s="214"/>
      <c r="JG137" s="214"/>
      <c r="JH137" s="214"/>
      <c r="JI137" s="214"/>
    </row>
    <row r="138" spans="1:269">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c r="IT138" s="214"/>
      <c r="IU138" s="214"/>
      <c r="IV138" s="214"/>
      <c r="IW138" s="214"/>
      <c r="IX138" s="214"/>
      <c r="IY138" s="214"/>
      <c r="IZ138" s="214"/>
      <c r="JA138" s="214"/>
      <c r="JB138" s="214"/>
      <c r="JC138" s="214"/>
      <c r="JD138" s="214"/>
      <c r="JE138" s="214"/>
      <c r="JF138" s="214"/>
      <c r="JG138" s="214"/>
      <c r="JH138" s="214"/>
      <c r="JI138" s="214"/>
    </row>
    <row r="139" spans="1:269">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c r="HI139" s="214"/>
      <c r="HJ139" s="214"/>
      <c r="HK139" s="214"/>
      <c r="HL139" s="214"/>
      <c r="HM139" s="214"/>
      <c r="HN139" s="214"/>
      <c r="HO139" s="214"/>
      <c r="HP139" s="214"/>
      <c r="HQ139" s="214"/>
      <c r="HR139" s="214"/>
      <c r="HS139" s="214"/>
      <c r="HT139" s="214"/>
      <c r="HU139" s="214"/>
      <c r="HV139" s="214"/>
      <c r="HW139" s="214"/>
      <c r="HX139" s="214"/>
      <c r="HY139" s="214"/>
      <c r="HZ139" s="214"/>
      <c r="IA139" s="214"/>
      <c r="IB139" s="214"/>
      <c r="IC139" s="214"/>
      <c r="ID139" s="214"/>
      <c r="IE139" s="214"/>
      <c r="IF139" s="214"/>
      <c r="IG139" s="214"/>
      <c r="IH139" s="214"/>
      <c r="II139" s="214"/>
      <c r="IJ139" s="214"/>
      <c r="IK139" s="214"/>
      <c r="IL139" s="214"/>
      <c r="IM139" s="214"/>
      <c r="IN139" s="214"/>
      <c r="IO139" s="214"/>
      <c r="IP139" s="214"/>
      <c r="IQ139" s="214"/>
      <c r="IR139" s="214"/>
      <c r="IS139" s="214"/>
      <c r="IT139" s="214"/>
      <c r="IU139" s="214"/>
      <c r="IV139" s="214"/>
      <c r="IW139" s="214"/>
      <c r="IX139" s="214"/>
      <c r="IY139" s="214"/>
      <c r="IZ139" s="214"/>
      <c r="JA139" s="214"/>
      <c r="JB139" s="214"/>
      <c r="JC139" s="214"/>
      <c r="JD139" s="214"/>
      <c r="JE139" s="214"/>
      <c r="JF139" s="214"/>
      <c r="JG139" s="214"/>
      <c r="JH139" s="214"/>
      <c r="JI139" s="214"/>
    </row>
    <row r="140" spans="1:269">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c r="HI140" s="214"/>
      <c r="HJ140" s="214"/>
      <c r="HK140" s="214"/>
      <c r="HL140" s="214"/>
      <c r="HM140" s="214"/>
      <c r="HN140" s="214"/>
      <c r="HO140" s="214"/>
      <c r="HP140" s="214"/>
      <c r="HQ140" s="214"/>
      <c r="HR140" s="214"/>
      <c r="HS140" s="214"/>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214"/>
      <c r="IQ140" s="214"/>
      <c r="IR140" s="214"/>
      <c r="IS140" s="214"/>
      <c r="IT140" s="214"/>
      <c r="IU140" s="214"/>
      <c r="IV140" s="214"/>
      <c r="IW140" s="214"/>
      <c r="IX140" s="214"/>
      <c r="IY140" s="214"/>
      <c r="IZ140" s="214"/>
      <c r="JA140" s="214"/>
      <c r="JB140" s="214"/>
      <c r="JC140" s="214"/>
      <c r="JD140" s="214"/>
      <c r="JE140" s="214"/>
      <c r="JF140" s="214"/>
      <c r="JG140" s="214"/>
      <c r="JH140" s="214"/>
      <c r="JI140" s="214"/>
    </row>
    <row r="141" spans="1:269">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c r="HY141" s="214"/>
      <c r="HZ141" s="214"/>
      <c r="IA141" s="214"/>
      <c r="IB141" s="214"/>
      <c r="IC141" s="214"/>
      <c r="ID141" s="214"/>
      <c r="IE141" s="214"/>
      <c r="IF141" s="214"/>
      <c r="IG141" s="214"/>
      <c r="IH141" s="214"/>
      <c r="II141" s="214"/>
      <c r="IJ141" s="214"/>
      <c r="IK141" s="214"/>
      <c r="IL141" s="214"/>
      <c r="IM141" s="214"/>
      <c r="IN141" s="214"/>
      <c r="IO141" s="214"/>
      <c r="IP141" s="214"/>
      <c r="IQ141" s="214"/>
      <c r="IR141" s="214"/>
      <c r="IS141" s="214"/>
      <c r="IT141" s="214"/>
      <c r="IU141" s="214"/>
      <c r="IV141" s="214"/>
      <c r="IW141" s="214"/>
      <c r="IX141" s="214"/>
      <c r="IY141" s="214"/>
      <c r="IZ141" s="214"/>
      <c r="JA141" s="214"/>
      <c r="JB141" s="214"/>
      <c r="JC141" s="214"/>
      <c r="JD141" s="214"/>
      <c r="JE141" s="214"/>
      <c r="JF141" s="214"/>
      <c r="JG141" s="214"/>
      <c r="JH141" s="214"/>
      <c r="JI141" s="214"/>
    </row>
    <row r="142" spans="1:269">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14"/>
      <c r="DQ142" s="214"/>
      <c r="DR142" s="214"/>
      <c r="DS142" s="214"/>
      <c r="DT142" s="214"/>
      <c r="DU142" s="214"/>
      <c r="DV142" s="214"/>
      <c r="DW142" s="214"/>
      <c r="DX142" s="214"/>
      <c r="DY142" s="214"/>
      <c r="DZ142" s="214"/>
      <c r="EA142" s="214"/>
      <c r="EB142" s="214"/>
      <c r="EC142" s="214"/>
      <c r="ED142" s="214"/>
      <c r="EE142" s="214"/>
      <c r="EF142" s="214"/>
      <c r="EG142" s="214"/>
      <c r="EH142" s="214"/>
      <c r="EI142" s="214"/>
      <c r="EJ142" s="214"/>
      <c r="EK142" s="214"/>
      <c r="EL142" s="214"/>
      <c r="EM142" s="214"/>
      <c r="EN142" s="214"/>
      <c r="EO142" s="214"/>
      <c r="EP142" s="214"/>
      <c r="EQ142" s="214"/>
      <c r="ER142" s="214"/>
      <c r="ES142" s="214"/>
      <c r="ET142" s="214"/>
      <c r="EU142" s="214"/>
      <c r="EV142" s="214"/>
      <c r="EW142" s="214"/>
      <c r="EX142" s="214"/>
      <c r="EY142" s="214"/>
      <c r="EZ142" s="214"/>
      <c r="FA142" s="214"/>
      <c r="FB142" s="214"/>
      <c r="FC142" s="214"/>
      <c r="FD142" s="214"/>
      <c r="FE142" s="214"/>
      <c r="FF142" s="214"/>
      <c r="FG142" s="214"/>
      <c r="FH142" s="214"/>
      <c r="FI142" s="214"/>
      <c r="FJ142" s="214"/>
      <c r="FK142" s="214"/>
      <c r="FL142" s="214"/>
      <c r="FM142" s="214"/>
      <c r="FN142" s="214"/>
      <c r="FO142" s="214"/>
      <c r="FP142" s="214"/>
      <c r="FQ142" s="214"/>
      <c r="FR142" s="214"/>
      <c r="FS142" s="214"/>
      <c r="FT142" s="214"/>
      <c r="FU142" s="214"/>
      <c r="FV142" s="214"/>
      <c r="FW142" s="214"/>
      <c r="FX142" s="214"/>
      <c r="FY142" s="214"/>
      <c r="FZ142" s="214"/>
      <c r="GA142" s="214"/>
      <c r="GB142" s="214"/>
      <c r="GC142" s="214"/>
      <c r="GD142" s="214"/>
      <c r="GE142" s="214"/>
      <c r="GF142" s="214"/>
      <c r="GG142" s="214"/>
      <c r="GH142" s="214"/>
      <c r="GI142" s="214"/>
      <c r="GJ142" s="214"/>
      <c r="GK142" s="214"/>
      <c r="GL142" s="214"/>
      <c r="GM142" s="214"/>
      <c r="GN142" s="214"/>
      <c r="GO142" s="214"/>
      <c r="GP142" s="214"/>
      <c r="GQ142" s="214"/>
      <c r="GR142" s="214"/>
      <c r="GS142" s="214"/>
      <c r="GT142" s="214"/>
      <c r="GU142" s="214"/>
      <c r="GV142" s="214"/>
      <c r="GW142" s="214"/>
      <c r="GX142" s="214"/>
      <c r="GY142" s="214"/>
      <c r="GZ142" s="214"/>
      <c r="HA142" s="214"/>
      <c r="HB142" s="214"/>
      <c r="HC142" s="214"/>
      <c r="HD142" s="214"/>
      <c r="HE142" s="214"/>
      <c r="HF142" s="214"/>
      <c r="HG142" s="214"/>
      <c r="HH142" s="214"/>
      <c r="HI142" s="214"/>
      <c r="HJ142" s="214"/>
      <c r="HK142" s="214"/>
      <c r="HL142" s="214"/>
      <c r="HM142" s="214"/>
      <c r="HN142" s="214"/>
      <c r="HO142" s="214"/>
      <c r="HP142" s="214"/>
      <c r="HQ142" s="214"/>
      <c r="HR142" s="214"/>
      <c r="HS142" s="214"/>
      <c r="HT142" s="214"/>
      <c r="HU142" s="214"/>
      <c r="HV142" s="214"/>
      <c r="HW142" s="214"/>
      <c r="HX142" s="214"/>
      <c r="HY142" s="214"/>
      <c r="HZ142" s="214"/>
      <c r="IA142" s="214"/>
      <c r="IB142" s="214"/>
      <c r="IC142" s="214"/>
      <c r="ID142" s="214"/>
      <c r="IE142" s="214"/>
      <c r="IF142" s="214"/>
      <c r="IG142" s="214"/>
      <c r="IH142" s="214"/>
      <c r="II142" s="214"/>
      <c r="IJ142" s="214"/>
      <c r="IK142" s="214"/>
      <c r="IL142" s="214"/>
      <c r="IM142" s="214"/>
      <c r="IN142" s="214"/>
      <c r="IO142" s="214"/>
      <c r="IP142" s="214"/>
      <c r="IQ142" s="214"/>
      <c r="IR142" s="214"/>
      <c r="IS142" s="214"/>
      <c r="IT142" s="214"/>
      <c r="IU142" s="214"/>
      <c r="IV142" s="214"/>
      <c r="IW142" s="214"/>
      <c r="IX142" s="214"/>
      <c r="IY142" s="214"/>
      <c r="IZ142" s="214"/>
      <c r="JA142" s="214"/>
      <c r="JB142" s="214"/>
      <c r="JC142" s="214"/>
      <c r="JD142" s="214"/>
      <c r="JE142" s="214"/>
      <c r="JF142" s="214"/>
      <c r="JG142" s="214"/>
      <c r="JH142" s="214"/>
      <c r="JI142" s="214"/>
    </row>
    <row r="143" spans="1:269">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c r="HI143" s="214"/>
      <c r="HJ143" s="214"/>
      <c r="HK143" s="214"/>
      <c r="HL143" s="214"/>
      <c r="HM143" s="214"/>
      <c r="HN143" s="214"/>
      <c r="HO143" s="214"/>
      <c r="HP143" s="214"/>
      <c r="HQ143" s="214"/>
      <c r="HR143" s="214"/>
      <c r="HS143" s="214"/>
      <c r="HT143" s="214"/>
      <c r="HU143" s="214"/>
      <c r="HV143" s="214"/>
      <c r="HW143" s="214"/>
      <c r="HX143" s="214"/>
      <c r="HY143" s="214"/>
      <c r="HZ143" s="214"/>
      <c r="IA143" s="214"/>
      <c r="IB143" s="214"/>
      <c r="IC143" s="214"/>
      <c r="ID143" s="214"/>
      <c r="IE143" s="214"/>
      <c r="IF143" s="214"/>
      <c r="IG143" s="214"/>
      <c r="IH143" s="214"/>
      <c r="II143" s="214"/>
      <c r="IJ143" s="214"/>
      <c r="IK143" s="214"/>
      <c r="IL143" s="214"/>
      <c r="IM143" s="214"/>
      <c r="IN143" s="214"/>
      <c r="IO143" s="214"/>
      <c r="IP143" s="214"/>
      <c r="IQ143" s="214"/>
      <c r="IR143" s="214"/>
      <c r="IS143" s="214"/>
      <c r="IT143" s="214"/>
      <c r="IU143" s="214"/>
      <c r="IV143" s="214"/>
      <c r="IW143" s="214"/>
      <c r="IX143" s="214"/>
      <c r="IY143" s="214"/>
      <c r="IZ143" s="214"/>
      <c r="JA143" s="214"/>
      <c r="JB143" s="214"/>
      <c r="JC143" s="214"/>
      <c r="JD143" s="214"/>
      <c r="JE143" s="214"/>
      <c r="JF143" s="214"/>
      <c r="JG143" s="214"/>
      <c r="JH143" s="214"/>
      <c r="JI143" s="214"/>
    </row>
    <row r="144" spans="1:269">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214"/>
      <c r="IQ144" s="214"/>
      <c r="IR144" s="214"/>
      <c r="IS144" s="214"/>
      <c r="IT144" s="214"/>
      <c r="IU144" s="214"/>
      <c r="IV144" s="214"/>
      <c r="IW144" s="214"/>
      <c r="IX144" s="214"/>
      <c r="IY144" s="214"/>
      <c r="IZ144" s="214"/>
      <c r="JA144" s="214"/>
      <c r="JB144" s="214"/>
      <c r="JC144" s="214"/>
      <c r="JD144" s="214"/>
      <c r="JE144" s="214"/>
      <c r="JF144" s="214"/>
      <c r="JG144" s="214"/>
      <c r="JH144" s="214"/>
      <c r="JI144" s="214"/>
    </row>
    <row r="145" spans="1:269">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214"/>
      <c r="IQ145" s="214"/>
      <c r="IR145" s="214"/>
      <c r="IS145" s="214"/>
      <c r="IT145" s="214"/>
      <c r="IU145" s="214"/>
      <c r="IV145" s="214"/>
      <c r="IW145" s="214"/>
      <c r="IX145" s="214"/>
      <c r="IY145" s="214"/>
      <c r="IZ145" s="214"/>
      <c r="JA145" s="214"/>
      <c r="JB145" s="214"/>
      <c r="JC145" s="214"/>
      <c r="JD145" s="214"/>
      <c r="JE145" s="214"/>
      <c r="JF145" s="214"/>
      <c r="JG145" s="214"/>
      <c r="JH145" s="214"/>
      <c r="JI145" s="214"/>
    </row>
    <row r="146" spans="1:269">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214"/>
      <c r="IQ146" s="214"/>
      <c r="IR146" s="214"/>
      <c r="IS146" s="214"/>
      <c r="IT146" s="214"/>
      <c r="IU146" s="214"/>
      <c r="IV146" s="214"/>
      <c r="IW146" s="214"/>
      <c r="IX146" s="214"/>
      <c r="IY146" s="214"/>
      <c r="IZ146" s="214"/>
      <c r="JA146" s="214"/>
      <c r="JB146" s="214"/>
      <c r="JC146" s="214"/>
      <c r="JD146" s="214"/>
      <c r="JE146" s="214"/>
      <c r="JF146" s="214"/>
      <c r="JG146" s="214"/>
      <c r="JH146" s="214"/>
      <c r="JI146" s="214"/>
    </row>
    <row r="147" spans="1:269">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214"/>
      <c r="IQ147" s="214"/>
      <c r="IR147" s="214"/>
      <c r="IS147" s="214"/>
      <c r="IT147" s="214"/>
      <c r="IU147" s="214"/>
      <c r="IV147" s="214"/>
      <c r="IW147" s="214"/>
      <c r="IX147" s="214"/>
      <c r="IY147" s="214"/>
      <c r="IZ147" s="214"/>
      <c r="JA147" s="214"/>
      <c r="JB147" s="214"/>
      <c r="JC147" s="214"/>
      <c r="JD147" s="214"/>
      <c r="JE147" s="214"/>
      <c r="JF147" s="214"/>
      <c r="JG147" s="214"/>
      <c r="JH147" s="214"/>
      <c r="JI147" s="214"/>
    </row>
    <row r="148" spans="1:269">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c r="HI148" s="214"/>
      <c r="HJ148" s="214"/>
      <c r="HK148" s="214"/>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214"/>
      <c r="IQ148" s="214"/>
      <c r="IR148" s="214"/>
      <c r="IS148" s="214"/>
      <c r="IT148" s="214"/>
      <c r="IU148" s="214"/>
      <c r="IV148" s="214"/>
      <c r="IW148" s="214"/>
      <c r="IX148" s="214"/>
      <c r="IY148" s="214"/>
      <c r="IZ148" s="214"/>
      <c r="JA148" s="214"/>
      <c r="JB148" s="214"/>
      <c r="JC148" s="214"/>
      <c r="JD148" s="214"/>
      <c r="JE148" s="214"/>
      <c r="JF148" s="214"/>
      <c r="JG148" s="214"/>
      <c r="JH148" s="214"/>
      <c r="JI148" s="214"/>
    </row>
    <row r="149" spans="1:269">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c r="IT149" s="214"/>
      <c r="IU149" s="214"/>
      <c r="IV149" s="214"/>
      <c r="IW149" s="214"/>
      <c r="IX149" s="214"/>
      <c r="IY149" s="214"/>
      <c r="IZ149" s="214"/>
      <c r="JA149" s="214"/>
      <c r="JB149" s="214"/>
      <c r="JC149" s="214"/>
      <c r="JD149" s="214"/>
      <c r="JE149" s="214"/>
      <c r="JF149" s="214"/>
      <c r="JG149" s="214"/>
      <c r="JH149" s="214"/>
      <c r="JI149" s="214"/>
    </row>
    <row r="150" spans="1:269">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c r="IT150" s="214"/>
      <c r="IU150" s="214"/>
      <c r="IV150" s="214"/>
      <c r="IW150" s="214"/>
      <c r="IX150" s="214"/>
      <c r="IY150" s="214"/>
      <c r="IZ150" s="214"/>
      <c r="JA150" s="214"/>
      <c r="JB150" s="214"/>
      <c r="JC150" s="214"/>
      <c r="JD150" s="214"/>
      <c r="JE150" s="214"/>
      <c r="JF150" s="214"/>
      <c r="JG150" s="214"/>
      <c r="JH150" s="214"/>
      <c r="JI150" s="214"/>
    </row>
    <row r="151" spans="1:269">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c r="IT151" s="214"/>
      <c r="IU151" s="214"/>
      <c r="IV151" s="214"/>
      <c r="IW151" s="214"/>
      <c r="IX151" s="214"/>
      <c r="IY151" s="214"/>
      <c r="IZ151" s="214"/>
      <c r="JA151" s="214"/>
      <c r="JB151" s="214"/>
      <c r="JC151" s="214"/>
      <c r="JD151" s="214"/>
      <c r="JE151" s="214"/>
      <c r="JF151" s="214"/>
      <c r="JG151" s="214"/>
      <c r="JH151" s="214"/>
      <c r="JI151" s="214"/>
    </row>
    <row r="152" spans="1:269">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14"/>
      <c r="CA152" s="214"/>
      <c r="CB152" s="214"/>
      <c r="CC152" s="214"/>
      <c r="CD152" s="214"/>
      <c r="CE152" s="214"/>
      <c r="CF152" s="214"/>
      <c r="CG152" s="214"/>
      <c r="CH152" s="214"/>
      <c r="CI152" s="214"/>
      <c r="CJ152" s="214"/>
      <c r="CK152" s="214"/>
      <c r="CL152" s="214"/>
      <c r="CM152" s="214"/>
      <c r="CN152" s="214"/>
      <c r="CO152" s="214"/>
      <c r="CP152" s="214"/>
      <c r="CQ152" s="214"/>
      <c r="CR152" s="214"/>
      <c r="CS152" s="214"/>
      <c r="CT152" s="214"/>
      <c r="CU152" s="214"/>
      <c r="CV152" s="214"/>
      <c r="CW152" s="214"/>
      <c r="CX152" s="214"/>
      <c r="CY152" s="214"/>
      <c r="CZ152" s="214"/>
      <c r="DA152" s="214"/>
      <c r="DB152" s="214"/>
      <c r="DC152" s="214"/>
      <c r="DD152" s="214"/>
      <c r="DE152" s="214"/>
      <c r="DF152" s="214"/>
      <c r="DG152" s="214"/>
      <c r="DH152" s="214"/>
      <c r="DI152" s="214"/>
      <c r="DJ152" s="214"/>
      <c r="DK152" s="214"/>
      <c r="DL152" s="214"/>
      <c r="DM152" s="214"/>
      <c r="DN152" s="214"/>
      <c r="DO152" s="214"/>
      <c r="DP152" s="214"/>
      <c r="DQ152" s="214"/>
      <c r="DR152" s="214"/>
      <c r="DS152" s="214"/>
      <c r="DT152" s="214"/>
      <c r="DU152" s="214"/>
      <c r="DV152" s="214"/>
      <c r="DW152" s="214"/>
      <c r="DX152" s="214"/>
      <c r="DY152" s="214"/>
      <c r="DZ152" s="214"/>
      <c r="EA152" s="214"/>
      <c r="EB152" s="214"/>
      <c r="EC152" s="214"/>
      <c r="ED152" s="214"/>
      <c r="EE152" s="214"/>
      <c r="EF152" s="214"/>
      <c r="EG152" s="214"/>
      <c r="EH152" s="214"/>
      <c r="EI152" s="214"/>
      <c r="EJ152" s="214"/>
      <c r="EK152" s="214"/>
      <c r="EL152" s="214"/>
      <c r="EM152" s="214"/>
      <c r="EN152" s="214"/>
      <c r="EO152" s="214"/>
      <c r="EP152" s="214"/>
      <c r="EQ152" s="214"/>
      <c r="ER152" s="214"/>
      <c r="ES152" s="214"/>
      <c r="ET152" s="214"/>
      <c r="EU152" s="214"/>
      <c r="EV152" s="214"/>
      <c r="EW152" s="214"/>
      <c r="EX152" s="214"/>
      <c r="EY152" s="214"/>
      <c r="EZ152" s="214"/>
      <c r="FA152" s="214"/>
      <c r="FB152" s="214"/>
      <c r="FC152" s="214"/>
      <c r="FD152" s="214"/>
      <c r="FE152" s="214"/>
      <c r="FF152" s="214"/>
      <c r="FG152" s="214"/>
      <c r="FH152" s="214"/>
      <c r="FI152" s="214"/>
      <c r="FJ152" s="214"/>
      <c r="FK152" s="214"/>
      <c r="FL152" s="214"/>
      <c r="FM152" s="214"/>
      <c r="FN152" s="214"/>
      <c r="FO152" s="214"/>
      <c r="FP152" s="214"/>
      <c r="FQ152" s="214"/>
      <c r="FR152" s="214"/>
      <c r="FS152" s="214"/>
      <c r="FT152" s="214"/>
      <c r="FU152" s="214"/>
      <c r="FV152" s="214"/>
      <c r="FW152" s="214"/>
      <c r="FX152" s="214"/>
      <c r="FY152" s="214"/>
      <c r="FZ152" s="214"/>
      <c r="GA152" s="214"/>
      <c r="GB152" s="214"/>
      <c r="GC152" s="214"/>
      <c r="GD152" s="214"/>
      <c r="GE152" s="214"/>
      <c r="GF152" s="214"/>
      <c r="GG152" s="214"/>
      <c r="GH152" s="214"/>
      <c r="GI152" s="214"/>
      <c r="GJ152" s="214"/>
      <c r="GK152" s="214"/>
      <c r="GL152" s="214"/>
      <c r="GM152" s="214"/>
      <c r="GN152" s="214"/>
      <c r="GO152" s="214"/>
      <c r="GP152" s="214"/>
      <c r="GQ152" s="214"/>
      <c r="GR152" s="214"/>
      <c r="GS152" s="214"/>
      <c r="GT152" s="214"/>
      <c r="GU152" s="214"/>
      <c r="GV152" s="214"/>
      <c r="GW152" s="214"/>
      <c r="GX152" s="214"/>
      <c r="GY152" s="214"/>
      <c r="GZ152" s="214"/>
      <c r="HA152" s="214"/>
      <c r="HB152" s="214"/>
      <c r="HC152" s="214"/>
      <c r="HD152" s="214"/>
      <c r="HE152" s="214"/>
      <c r="HF152" s="214"/>
      <c r="HG152" s="214"/>
      <c r="HH152" s="214"/>
      <c r="HI152" s="214"/>
      <c r="HJ152" s="214"/>
      <c r="HK152" s="214"/>
      <c r="HL152" s="214"/>
      <c r="HM152" s="214"/>
      <c r="HN152" s="214"/>
      <c r="HO152" s="214"/>
      <c r="HP152" s="214"/>
      <c r="HQ152" s="214"/>
      <c r="HR152" s="214"/>
      <c r="HS152" s="214"/>
      <c r="HT152" s="214"/>
      <c r="HU152" s="214"/>
      <c r="HV152" s="214"/>
      <c r="HW152" s="214"/>
      <c r="HX152" s="214"/>
      <c r="HY152" s="214"/>
      <c r="HZ152" s="214"/>
      <c r="IA152" s="214"/>
      <c r="IB152" s="214"/>
      <c r="IC152" s="214"/>
      <c r="ID152" s="214"/>
      <c r="IE152" s="214"/>
      <c r="IF152" s="214"/>
      <c r="IG152" s="214"/>
      <c r="IH152" s="214"/>
      <c r="II152" s="214"/>
      <c r="IJ152" s="214"/>
      <c r="IK152" s="214"/>
      <c r="IL152" s="214"/>
      <c r="IM152" s="214"/>
      <c r="IN152" s="214"/>
      <c r="IO152" s="214"/>
      <c r="IP152" s="214"/>
      <c r="IQ152" s="214"/>
      <c r="IR152" s="214"/>
      <c r="IS152" s="214"/>
      <c r="IT152" s="214"/>
      <c r="IU152" s="214"/>
      <c r="IV152" s="214"/>
      <c r="IW152" s="214"/>
      <c r="IX152" s="214"/>
      <c r="IY152" s="214"/>
      <c r="IZ152" s="214"/>
      <c r="JA152" s="214"/>
      <c r="JB152" s="214"/>
      <c r="JC152" s="214"/>
      <c r="JD152" s="214"/>
      <c r="JE152" s="214"/>
      <c r="JF152" s="214"/>
      <c r="JG152" s="214"/>
      <c r="JH152" s="214"/>
      <c r="JI152" s="214"/>
    </row>
    <row r="153" spans="1:269">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214"/>
      <c r="CC153" s="214"/>
      <c r="CD153" s="214"/>
      <c r="CE153" s="214"/>
      <c r="CF153" s="214"/>
      <c r="CG153" s="214"/>
      <c r="CH153" s="214"/>
      <c r="CI153" s="214"/>
      <c r="CJ153" s="214"/>
      <c r="CK153" s="214"/>
      <c r="CL153" s="214"/>
      <c r="CM153" s="214"/>
      <c r="CN153" s="214"/>
      <c r="CO153" s="214"/>
      <c r="CP153" s="214"/>
      <c r="CQ153" s="214"/>
      <c r="CR153" s="214"/>
      <c r="CS153" s="214"/>
      <c r="CT153" s="214"/>
      <c r="CU153" s="214"/>
      <c r="CV153" s="214"/>
      <c r="CW153" s="214"/>
      <c r="CX153" s="214"/>
      <c r="CY153" s="214"/>
      <c r="CZ153" s="214"/>
      <c r="DA153" s="214"/>
      <c r="DB153" s="214"/>
      <c r="DC153" s="214"/>
      <c r="DD153" s="214"/>
      <c r="DE153" s="214"/>
      <c r="DF153" s="214"/>
      <c r="DG153" s="214"/>
      <c r="DH153" s="214"/>
      <c r="DI153" s="214"/>
      <c r="DJ153" s="214"/>
      <c r="DK153" s="214"/>
      <c r="DL153" s="214"/>
      <c r="DM153" s="214"/>
      <c r="DN153" s="214"/>
      <c r="DO153" s="214"/>
      <c r="DP153" s="214"/>
      <c r="DQ153" s="214"/>
      <c r="DR153" s="214"/>
      <c r="DS153" s="214"/>
      <c r="DT153" s="214"/>
      <c r="DU153" s="214"/>
      <c r="DV153" s="214"/>
      <c r="DW153" s="214"/>
      <c r="DX153" s="214"/>
      <c r="DY153" s="214"/>
      <c r="DZ153" s="214"/>
      <c r="EA153" s="214"/>
      <c r="EB153" s="214"/>
      <c r="EC153" s="214"/>
      <c r="ED153" s="214"/>
      <c r="EE153" s="214"/>
      <c r="EF153" s="214"/>
      <c r="EG153" s="214"/>
      <c r="EH153" s="214"/>
      <c r="EI153" s="214"/>
      <c r="EJ153" s="214"/>
      <c r="EK153" s="214"/>
      <c r="EL153" s="214"/>
      <c r="EM153" s="214"/>
      <c r="EN153" s="214"/>
      <c r="EO153" s="214"/>
      <c r="EP153" s="214"/>
      <c r="EQ153" s="214"/>
      <c r="ER153" s="214"/>
      <c r="ES153" s="214"/>
      <c r="ET153" s="214"/>
      <c r="EU153" s="214"/>
      <c r="EV153" s="214"/>
      <c r="EW153" s="214"/>
      <c r="EX153" s="214"/>
      <c r="EY153" s="214"/>
      <c r="EZ153" s="214"/>
      <c r="FA153" s="214"/>
      <c r="FB153" s="214"/>
      <c r="FC153" s="214"/>
      <c r="FD153" s="214"/>
      <c r="FE153" s="214"/>
      <c r="FF153" s="214"/>
      <c r="FG153" s="214"/>
      <c r="FH153" s="214"/>
      <c r="FI153" s="214"/>
      <c r="FJ153" s="214"/>
      <c r="FK153" s="214"/>
      <c r="FL153" s="214"/>
      <c r="FM153" s="214"/>
      <c r="FN153" s="214"/>
      <c r="FO153" s="214"/>
      <c r="FP153" s="214"/>
      <c r="FQ153" s="214"/>
      <c r="FR153" s="214"/>
      <c r="FS153" s="214"/>
      <c r="FT153" s="214"/>
      <c r="FU153" s="214"/>
      <c r="FV153" s="214"/>
      <c r="FW153" s="214"/>
      <c r="FX153" s="214"/>
      <c r="FY153" s="214"/>
      <c r="FZ153" s="214"/>
      <c r="GA153" s="214"/>
      <c r="GB153" s="214"/>
      <c r="GC153" s="214"/>
      <c r="GD153" s="214"/>
      <c r="GE153" s="214"/>
      <c r="GF153" s="214"/>
      <c r="GG153" s="214"/>
      <c r="GH153" s="214"/>
      <c r="GI153" s="214"/>
      <c r="GJ153" s="214"/>
      <c r="GK153" s="214"/>
      <c r="GL153" s="214"/>
      <c r="GM153" s="214"/>
      <c r="GN153" s="214"/>
      <c r="GO153" s="214"/>
      <c r="GP153" s="214"/>
      <c r="GQ153" s="214"/>
      <c r="GR153" s="214"/>
      <c r="GS153" s="214"/>
      <c r="GT153" s="214"/>
      <c r="GU153" s="214"/>
      <c r="GV153" s="214"/>
      <c r="GW153" s="214"/>
      <c r="GX153" s="214"/>
      <c r="GY153" s="214"/>
      <c r="GZ153" s="214"/>
      <c r="HA153" s="214"/>
      <c r="HB153" s="214"/>
      <c r="HC153" s="214"/>
      <c r="HD153" s="214"/>
      <c r="HE153" s="214"/>
      <c r="HF153" s="214"/>
      <c r="HG153" s="214"/>
      <c r="HH153" s="214"/>
      <c r="HI153" s="214"/>
      <c r="HJ153" s="214"/>
      <c r="HK153" s="214"/>
      <c r="HL153" s="214"/>
      <c r="HM153" s="214"/>
      <c r="HN153" s="214"/>
      <c r="HO153" s="214"/>
      <c r="HP153" s="214"/>
      <c r="HQ153" s="214"/>
      <c r="HR153" s="214"/>
      <c r="HS153" s="214"/>
      <c r="HT153" s="214"/>
      <c r="HU153" s="214"/>
      <c r="HV153" s="214"/>
      <c r="HW153" s="214"/>
      <c r="HX153" s="214"/>
      <c r="HY153" s="214"/>
      <c r="HZ153" s="214"/>
      <c r="IA153" s="214"/>
      <c r="IB153" s="214"/>
      <c r="IC153" s="214"/>
      <c r="ID153" s="214"/>
      <c r="IE153" s="214"/>
      <c r="IF153" s="214"/>
      <c r="IG153" s="214"/>
      <c r="IH153" s="214"/>
      <c r="II153" s="214"/>
      <c r="IJ153" s="214"/>
      <c r="IK153" s="214"/>
      <c r="IL153" s="214"/>
      <c r="IM153" s="214"/>
      <c r="IN153" s="214"/>
      <c r="IO153" s="214"/>
      <c r="IP153" s="214"/>
      <c r="IQ153" s="214"/>
      <c r="IR153" s="214"/>
      <c r="IS153" s="214"/>
      <c r="IT153" s="214"/>
      <c r="IU153" s="214"/>
      <c r="IV153" s="214"/>
      <c r="IW153" s="214"/>
      <c r="IX153" s="214"/>
      <c r="IY153" s="214"/>
      <c r="IZ153" s="214"/>
      <c r="JA153" s="214"/>
      <c r="JB153" s="214"/>
      <c r="JC153" s="214"/>
      <c r="JD153" s="214"/>
      <c r="JE153" s="214"/>
      <c r="JF153" s="214"/>
      <c r="JG153" s="214"/>
      <c r="JH153" s="214"/>
      <c r="JI153" s="214"/>
    </row>
    <row r="154" spans="1:269">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14"/>
      <c r="DQ154" s="214"/>
      <c r="DR154" s="214"/>
      <c r="DS154" s="214"/>
      <c r="DT154" s="214"/>
      <c r="DU154" s="214"/>
      <c r="DV154" s="214"/>
      <c r="DW154" s="214"/>
      <c r="DX154" s="214"/>
      <c r="DY154" s="214"/>
      <c r="DZ154" s="214"/>
      <c r="EA154" s="214"/>
      <c r="EB154" s="214"/>
      <c r="EC154" s="214"/>
      <c r="ED154" s="214"/>
      <c r="EE154" s="214"/>
      <c r="EF154" s="214"/>
      <c r="EG154" s="214"/>
      <c r="EH154" s="214"/>
      <c r="EI154" s="214"/>
      <c r="EJ154" s="214"/>
      <c r="EK154" s="214"/>
      <c r="EL154" s="214"/>
      <c r="EM154" s="214"/>
      <c r="EN154" s="214"/>
      <c r="EO154" s="214"/>
      <c r="EP154" s="214"/>
      <c r="EQ154" s="214"/>
      <c r="ER154" s="214"/>
      <c r="ES154" s="214"/>
      <c r="ET154" s="214"/>
      <c r="EU154" s="214"/>
      <c r="EV154" s="214"/>
      <c r="EW154" s="214"/>
      <c r="EX154" s="214"/>
      <c r="EY154" s="214"/>
      <c r="EZ154" s="214"/>
      <c r="FA154" s="214"/>
      <c r="FB154" s="214"/>
      <c r="FC154" s="214"/>
      <c r="FD154" s="214"/>
      <c r="FE154" s="214"/>
      <c r="FF154" s="214"/>
      <c r="FG154" s="214"/>
      <c r="FH154" s="214"/>
      <c r="FI154" s="214"/>
      <c r="FJ154" s="214"/>
      <c r="FK154" s="214"/>
      <c r="FL154" s="214"/>
      <c r="FM154" s="214"/>
      <c r="FN154" s="214"/>
      <c r="FO154" s="214"/>
      <c r="FP154" s="214"/>
      <c r="FQ154" s="214"/>
      <c r="FR154" s="214"/>
      <c r="FS154" s="214"/>
      <c r="FT154" s="214"/>
      <c r="FU154" s="214"/>
      <c r="FV154" s="214"/>
      <c r="FW154" s="214"/>
      <c r="FX154" s="214"/>
      <c r="FY154" s="214"/>
      <c r="FZ154" s="214"/>
      <c r="GA154" s="214"/>
      <c r="GB154" s="214"/>
      <c r="GC154" s="214"/>
      <c r="GD154" s="214"/>
      <c r="GE154" s="214"/>
      <c r="GF154" s="214"/>
      <c r="GG154" s="214"/>
      <c r="GH154" s="214"/>
      <c r="GI154" s="214"/>
      <c r="GJ154" s="214"/>
      <c r="GK154" s="214"/>
      <c r="GL154" s="214"/>
      <c r="GM154" s="214"/>
      <c r="GN154" s="214"/>
      <c r="GO154" s="214"/>
      <c r="GP154" s="214"/>
      <c r="GQ154" s="214"/>
      <c r="GR154" s="214"/>
      <c r="GS154" s="214"/>
      <c r="GT154" s="214"/>
      <c r="GU154" s="214"/>
      <c r="GV154" s="214"/>
      <c r="GW154" s="214"/>
      <c r="GX154" s="214"/>
      <c r="GY154" s="214"/>
      <c r="GZ154" s="214"/>
      <c r="HA154" s="214"/>
      <c r="HB154" s="214"/>
      <c r="HC154" s="214"/>
      <c r="HD154" s="214"/>
      <c r="HE154" s="214"/>
      <c r="HF154" s="214"/>
      <c r="HG154" s="214"/>
      <c r="HH154" s="214"/>
      <c r="HI154" s="214"/>
      <c r="HJ154" s="214"/>
      <c r="HK154" s="214"/>
      <c r="HL154" s="214"/>
      <c r="HM154" s="214"/>
      <c r="HN154" s="214"/>
      <c r="HO154" s="214"/>
      <c r="HP154" s="214"/>
      <c r="HQ154" s="214"/>
      <c r="HR154" s="214"/>
      <c r="HS154" s="214"/>
      <c r="HT154" s="214"/>
      <c r="HU154" s="214"/>
      <c r="HV154" s="214"/>
      <c r="HW154" s="214"/>
      <c r="HX154" s="214"/>
      <c r="HY154" s="214"/>
      <c r="HZ154" s="214"/>
      <c r="IA154" s="214"/>
      <c r="IB154" s="214"/>
      <c r="IC154" s="214"/>
      <c r="ID154" s="214"/>
      <c r="IE154" s="214"/>
      <c r="IF154" s="214"/>
      <c r="IG154" s="214"/>
      <c r="IH154" s="214"/>
      <c r="II154" s="214"/>
      <c r="IJ154" s="214"/>
      <c r="IK154" s="214"/>
      <c r="IL154" s="214"/>
      <c r="IM154" s="214"/>
      <c r="IN154" s="214"/>
      <c r="IO154" s="214"/>
      <c r="IP154" s="214"/>
      <c r="IQ154" s="214"/>
      <c r="IR154" s="214"/>
      <c r="IS154" s="214"/>
      <c r="IT154" s="214"/>
      <c r="IU154" s="214"/>
      <c r="IV154" s="214"/>
      <c r="IW154" s="214"/>
      <c r="IX154" s="214"/>
      <c r="IY154" s="214"/>
      <c r="IZ154" s="214"/>
      <c r="JA154" s="214"/>
      <c r="JB154" s="214"/>
      <c r="JC154" s="214"/>
      <c r="JD154" s="214"/>
      <c r="JE154" s="214"/>
      <c r="JF154" s="214"/>
      <c r="JG154" s="214"/>
      <c r="JH154" s="214"/>
      <c r="JI154" s="214"/>
    </row>
    <row r="155" spans="1:269">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14"/>
      <c r="DQ155" s="214"/>
      <c r="DR155" s="214"/>
      <c r="DS155" s="214"/>
      <c r="DT155" s="214"/>
      <c r="DU155" s="214"/>
      <c r="DV155" s="214"/>
      <c r="DW155" s="214"/>
      <c r="DX155" s="214"/>
      <c r="DY155" s="214"/>
      <c r="DZ155" s="214"/>
      <c r="EA155" s="214"/>
      <c r="EB155" s="214"/>
      <c r="EC155" s="214"/>
      <c r="ED155" s="214"/>
      <c r="EE155" s="214"/>
      <c r="EF155" s="214"/>
      <c r="EG155" s="214"/>
      <c r="EH155" s="214"/>
      <c r="EI155" s="214"/>
      <c r="EJ155" s="214"/>
      <c r="EK155" s="214"/>
      <c r="EL155" s="214"/>
      <c r="EM155" s="214"/>
      <c r="EN155" s="214"/>
      <c r="EO155" s="214"/>
      <c r="EP155" s="214"/>
      <c r="EQ155" s="214"/>
      <c r="ER155" s="214"/>
      <c r="ES155" s="214"/>
      <c r="ET155" s="214"/>
      <c r="EU155" s="214"/>
      <c r="EV155" s="214"/>
      <c r="EW155" s="214"/>
      <c r="EX155" s="214"/>
      <c r="EY155" s="214"/>
      <c r="EZ155" s="214"/>
      <c r="FA155" s="214"/>
      <c r="FB155" s="214"/>
      <c r="FC155" s="214"/>
      <c r="FD155" s="214"/>
      <c r="FE155" s="214"/>
      <c r="FF155" s="214"/>
      <c r="FG155" s="214"/>
      <c r="FH155" s="214"/>
      <c r="FI155" s="214"/>
      <c r="FJ155" s="214"/>
      <c r="FK155" s="214"/>
      <c r="FL155" s="214"/>
      <c r="FM155" s="214"/>
      <c r="FN155" s="214"/>
      <c r="FO155" s="214"/>
      <c r="FP155" s="214"/>
      <c r="FQ155" s="214"/>
      <c r="FR155" s="214"/>
      <c r="FS155" s="214"/>
      <c r="FT155" s="214"/>
      <c r="FU155" s="214"/>
      <c r="FV155" s="214"/>
      <c r="FW155" s="214"/>
      <c r="FX155" s="214"/>
      <c r="FY155" s="214"/>
      <c r="FZ155" s="214"/>
      <c r="GA155" s="214"/>
      <c r="GB155" s="214"/>
      <c r="GC155" s="214"/>
      <c r="GD155" s="214"/>
      <c r="GE155" s="214"/>
      <c r="GF155" s="214"/>
      <c r="GG155" s="214"/>
      <c r="GH155" s="214"/>
      <c r="GI155" s="214"/>
      <c r="GJ155" s="214"/>
      <c r="GK155" s="214"/>
      <c r="GL155" s="214"/>
      <c r="GM155" s="214"/>
      <c r="GN155" s="214"/>
      <c r="GO155" s="214"/>
      <c r="GP155" s="214"/>
      <c r="GQ155" s="214"/>
      <c r="GR155" s="214"/>
      <c r="GS155" s="214"/>
      <c r="GT155" s="214"/>
      <c r="GU155" s="214"/>
      <c r="GV155" s="214"/>
      <c r="GW155" s="214"/>
      <c r="GX155" s="214"/>
      <c r="GY155" s="214"/>
      <c r="GZ155" s="214"/>
      <c r="HA155" s="214"/>
      <c r="HB155" s="214"/>
      <c r="HC155" s="214"/>
      <c r="HD155" s="214"/>
      <c r="HE155" s="214"/>
      <c r="HF155" s="214"/>
      <c r="HG155" s="214"/>
      <c r="HH155" s="214"/>
      <c r="HI155" s="214"/>
      <c r="HJ155" s="214"/>
      <c r="HK155" s="214"/>
      <c r="HL155" s="214"/>
      <c r="HM155" s="214"/>
      <c r="HN155" s="214"/>
      <c r="HO155" s="214"/>
      <c r="HP155" s="214"/>
      <c r="HQ155" s="214"/>
      <c r="HR155" s="214"/>
      <c r="HS155" s="214"/>
      <c r="HT155" s="214"/>
      <c r="HU155" s="214"/>
      <c r="HV155" s="214"/>
      <c r="HW155" s="214"/>
      <c r="HX155" s="214"/>
      <c r="HY155" s="214"/>
      <c r="HZ155" s="214"/>
      <c r="IA155" s="214"/>
      <c r="IB155" s="214"/>
      <c r="IC155" s="214"/>
      <c r="ID155" s="214"/>
      <c r="IE155" s="214"/>
      <c r="IF155" s="214"/>
      <c r="IG155" s="214"/>
      <c r="IH155" s="214"/>
      <c r="II155" s="214"/>
      <c r="IJ155" s="214"/>
      <c r="IK155" s="214"/>
      <c r="IL155" s="214"/>
      <c r="IM155" s="214"/>
      <c r="IN155" s="214"/>
      <c r="IO155" s="214"/>
      <c r="IP155" s="214"/>
      <c r="IQ155" s="214"/>
      <c r="IR155" s="214"/>
      <c r="IS155" s="214"/>
      <c r="IT155" s="214"/>
      <c r="IU155" s="214"/>
      <c r="IV155" s="214"/>
      <c r="IW155" s="214"/>
      <c r="IX155" s="214"/>
      <c r="IY155" s="214"/>
      <c r="IZ155" s="214"/>
      <c r="JA155" s="214"/>
      <c r="JB155" s="214"/>
      <c r="JC155" s="214"/>
      <c r="JD155" s="214"/>
      <c r="JE155" s="214"/>
      <c r="JF155" s="214"/>
      <c r="JG155" s="214"/>
      <c r="JH155" s="214"/>
      <c r="JI155" s="214"/>
    </row>
    <row r="156" spans="1:269">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14"/>
      <c r="DQ156" s="214"/>
      <c r="DR156" s="214"/>
      <c r="DS156" s="214"/>
      <c r="DT156" s="214"/>
      <c r="DU156" s="214"/>
      <c r="DV156" s="214"/>
      <c r="DW156" s="214"/>
      <c r="DX156" s="214"/>
      <c r="DY156" s="214"/>
      <c r="DZ156" s="214"/>
      <c r="EA156" s="214"/>
      <c r="EB156" s="214"/>
      <c r="EC156" s="214"/>
      <c r="ED156" s="214"/>
      <c r="EE156" s="214"/>
      <c r="EF156" s="214"/>
      <c r="EG156" s="214"/>
      <c r="EH156" s="214"/>
      <c r="EI156" s="214"/>
      <c r="EJ156" s="214"/>
      <c r="EK156" s="214"/>
      <c r="EL156" s="214"/>
      <c r="EM156" s="214"/>
      <c r="EN156" s="214"/>
      <c r="EO156" s="214"/>
      <c r="EP156" s="214"/>
      <c r="EQ156" s="214"/>
      <c r="ER156" s="214"/>
      <c r="ES156" s="214"/>
      <c r="ET156" s="214"/>
      <c r="EU156" s="214"/>
      <c r="EV156" s="214"/>
      <c r="EW156" s="214"/>
      <c r="EX156" s="214"/>
      <c r="EY156" s="214"/>
      <c r="EZ156" s="214"/>
      <c r="FA156" s="214"/>
      <c r="FB156" s="214"/>
      <c r="FC156" s="214"/>
      <c r="FD156" s="214"/>
      <c r="FE156" s="214"/>
      <c r="FF156" s="214"/>
      <c r="FG156" s="214"/>
      <c r="FH156" s="214"/>
      <c r="FI156" s="214"/>
      <c r="FJ156" s="214"/>
      <c r="FK156" s="214"/>
      <c r="FL156" s="214"/>
      <c r="FM156" s="214"/>
      <c r="FN156" s="214"/>
      <c r="FO156" s="214"/>
      <c r="FP156" s="214"/>
      <c r="FQ156" s="214"/>
      <c r="FR156" s="214"/>
      <c r="FS156" s="214"/>
      <c r="FT156" s="214"/>
      <c r="FU156" s="214"/>
      <c r="FV156" s="214"/>
      <c r="FW156" s="214"/>
      <c r="FX156" s="214"/>
      <c r="FY156" s="214"/>
      <c r="FZ156" s="214"/>
      <c r="GA156" s="214"/>
      <c r="GB156" s="214"/>
      <c r="GC156" s="214"/>
      <c r="GD156" s="214"/>
      <c r="GE156" s="214"/>
      <c r="GF156" s="214"/>
      <c r="GG156" s="214"/>
      <c r="GH156" s="214"/>
      <c r="GI156" s="214"/>
      <c r="GJ156" s="214"/>
      <c r="GK156" s="214"/>
      <c r="GL156" s="214"/>
      <c r="GM156" s="214"/>
      <c r="GN156" s="214"/>
      <c r="GO156" s="214"/>
      <c r="GP156" s="214"/>
      <c r="GQ156" s="214"/>
      <c r="GR156" s="214"/>
      <c r="GS156" s="214"/>
      <c r="GT156" s="214"/>
      <c r="GU156" s="214"/>
      <c r="GV156" s="214"/>
      <c r="GW156" s="214"/>
      <c r="GX156" s="214"/>
      <c r="GY156" s="214"/>
      <c r="GZ156" s="214"/>
      <c r="HA156" s="214"/>
      <c r="HB156" s="214"/>
      <c r="HC156" s="214"/>
      <c r="HD156" s="214"/>
      <c r="HE156" s="214"/>
      <c r="HF156" s="214"/>
      <c r="HG156" s="214"/>
      <c r="HH156" s="214"/>
      <c r="HI156" s="214"/>
      <c r="HJ156" s="214"/>
      <c r="HK156" s="214"/>
      <c r="HL156" s="214"/>
      <c r="HM156" s="214"/>
      <c r="HN156" s="214"/>
      <c r="HO156" s="214"/>
      <c r="HP156" s="214"/>
      <c r="HQ156" s="214"/>
      <c r="HR156" s="214"/>
      <c r="HS156" s="214"/>
      <c r="HT156" s="214"/>
      <c r="HU156" s="214"/>
      <c r="HV156" s="214"/>
      <c r="HW156" s="214"/>
      <c r="HX156" s="214"/>
      <c r="HY156" s="214"/>
      <c r="HZ156" s="214"/>
      <c r="IA156" s="214"/>
      <c r="IB156" s="214"/>
      <c r="IC156" s="214"/>
      <c r="ID156" s="214"/>
      <c r="IE156" s="214"/>
      <c r="IF156" s="214"/>
      <c r="IG156" s="214"/>
      <c r="IH156" s="214"/>
      <c r="II156" s="214"/>
      <c r="IJ156" s="214"/>
      <c r="IK156" s="214"/>
      <c r="IL156" s="214"/>
      <c r="IM156" s="214"/>
      <c r="IN156" s="214"/>
      <c r="IO156" s="214"/>
      <c r="IP156" s="214"/>
      <c r="IQ156" s="214"/>
      <c r="IR156" s="214"/>
      <c r="IS156" s="214"/>
      <c r="IT156" s="214"/>
      <c r="IU156" s="214"/>
      <c r="IV156" s="214"/>
      <c r="IW156" s="214"/>
      <c r="IX156" s="214"/>
      <c r="IY156" s="214"/>
      <c r="IZ156" s="214"/>
      <c r="JA156" s="214"/>
      <c r="JB156" s="214"/>
      <c r="JC156" s="214"/>
      <c r="JD156" s="214"/>
      <c r="JE156" s="214"/>
      <c r="JF156" s="214"/>
      <c r="JG156" s="214"/>
      <c r="JH156" s="214"/>
      <c r="JI156" s="214"/>
    </row>
    <row r="157" spans="1:269">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14"/>
      <c r="DQ157" s="214"/>
      <c r="DR157" s="214"/>
      <c r="DS157" s="214"/>
      <c r="DT157" s="214"/>
      <c r="DU157" s="214"/>
      <c r="DV157" s="214"/>
      <c r="DW157" s="214"/>
      <c r="DX157" s="214"/>
      <c r="DY157" s="214"/>
      <c r="DZ157" s="214"/>
      <c r="EA157" s="214"/>
      <c r="EB157" s="214"/>
      <c r="EC157" s="214"/>
      <c r="ED157" s="214"/>
      <c r="EE157" s="214"/>
      <c r="EF157" s="214"/>
      <c r="EG157" s="214"/>
      <c r="EH157" s="214"/>
      <c r="EI157" s="214"/>
      <c r="EJ157" s="214"/>
      <c r="EK157" s="214"/>
      <c r="EL157" s="214"/>
      <c r="EM157" s="214"/>
      <c r="EN157" s="214"/>
      <c r="EO157" s="214"/>
      <c r="EP157" s="214"/>
      <c r="EQ157" s="214"/>
      <c r="ER157" s="214"/>
      <c r="ES157" s="214"/>
      <c r="ET157" s="214"/>
      <c r="EU157" s="214"/>
      <c r="EV157" s="214"/>
      <c r="EW157" s="214"/>
      <c r="EX157" s="214"/>
      <c r="EY157" s="214"/>
      <c r="EZ157" s="214"/>
      <c r="FA157" s="214"/>
      <c r="FB157" s="214"/>
      <c r="FC157" s="214"/>
      <c r="FD157" s="214"/>
      <c r="FE157" s="214"/>
      <c r="FF157" s="214"/>
      <c r="FG157" s="214"/>
      <c r="FH157" s="214"/>
      <c r="FI157" s="214"/>
      <c r="FJ157" s="214"/>
      <c r="FK157" s="214"/>
      <c r="FL157" s="214"/>
      <c r="FM157" s="214"/>
      <c r="FN157" s="214"/>
      <c r="FO157" s="214"/>
      <c r="FP157" s="214"/>
      <c r="FQ157" s="214"/>
      <c r="FR157" s="214"/>
      <c r="FS157" s="214"/>
      <c r="FT157" s="214"/>
      <c r="FU157" s="214"/>
      <c r="FV157" s="214"/>
      <c r="FW157" s="214"/>
      <c r="FX157" s="214"/>
      <c r="FY157" s="214"/>
      <c r="FZ157" s="214"/>
      <c r="GA157" s="214"/>
      <c r="GB157" s="214"/>
      <c r="GC157" s="214"/>
      <c r="GD157" s="214"/>
      <c r="GE157" s="214"/>
      <c r="GF157" s="214"/>
      <c r="GG157" s="214"/>
      <c r="GH157" s="214"/>
      <c r="GI157" s="214"/>
      <c r="GJ157" s="214"/>
      <c r="GK157" s="214"/>
      <c r="GL157" s="214"/>
      <c r="GM157" s="214"/>
      <c r="GN157" s="214"/>
      <c r="GO157" s="214"/>
      <c r="GP157" s="214"/>
      <c r="GQ157" s="214"/>
      <c r="GR157" s="214"/>
      <c r="GS157" s="214"/>
      <c r="GT157" s="214"/>
      <c r="GU157" s="214"/>
      <c r="GV157" s="214"/>
      <c r="GW157" s="214"/>
      <c r="GX157" s="214"/>
      <c r="GY157" s="214"/>
      <c r="GZ157" s="214"/>
      <c r="HA157" s="214"/>
      <c r="HB157" s="214"/>
      <c r="HC157" s="214"/>
      <c r="HD157" s="214"/>
      <c r="HE157" s="214"/>
      <c r="HF157" s="214"/>
      <c r="HG157" s="214"/>
      <c r="HH157" s="214"/>
      <c r="HI157" s="214"/>
      <c r="HJ157" s="214"/>
      <c r="HK157" s="214"/>
      <c r="HL157" s="214"/>
      <c r="HM157" s="214"/>
      <c r="HN157" s="214"/>
      <c r="HO157" s="214"/>
      <c r="HP157" s="214"/>
      <c r="HQ157" s="214"/>
      <c r="HR157" s="214"/>
      <c r="HS157" s="214"/>
      <c r="HT157" s="214"/>
      <c r="HU157" s="214"/>
      <c r="HV157" s="214"/>
      <c r="HW157" s="214"/>
      <c r="HX157" s="214"/>
      <c r="HY157" s="214"/>
      <c r="HZ157" s="214"/>
      <c r="IA157" s="214"/>
      <c r="IB157" s="214"/>
      <c r="IC157" s="214"/>
      <c r="ID157" s="214"/>
      <c r="IE157" s="214"/>
      <c r="IF157" s="214"/>
      <c r="IG157" s="214"/>
      <c r="IH157" s="214"/>
      <c r="II157" s="214"/>
      <c r="IJ157" s="214"/>
      <c r="IK157" s="214"/>
      <c r="IL157" s="214"/>
      <c r="IM157" s="214"/>
      <c r="IN157" s="214"/>
      <c r="IO157" s="214"/>
      <c r="IP157" s="214"/>
      <c r="IQ157" s="214"/>
      <c r="IR157" s="214"/>
      <c r="IS157" s="214"/>
      <c r="IT157" s="214"/>
      <c r="IU157" s="214"/>
      <c r="IV157" s="214"/>
      <c r="IW157" s="214"/>
      <c r="IX157" s="214"/>
      <c r="IY157" s="214"/>
      <c r="IZ157" s="214"/>
      <c r="JA157" s="214"/>
      <c r="JB157" s="214"/>
      <c r="JC157" s="214"/>
      <c r="JD157" s="214"/>
      <c r="JE157" s="214"/>
      <c r="JF157" s="214"/>
      <c r="JG157" s="214"/>
      <c r="JH157" s="214"/>
      <c r="JI157" s="214"/>
    </row>
    <row r="158" spans="1:269">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4"/>
      <c r="CJ158" s="214"/>
      <c r="CK158" s="214"/>
      <c r="CL158" s="214"/>
      <c r="CM158" s="214"/>
      <c r="CN158" s="214"/>
      <c r="CO158" s="214"/>
      <c r="CP158" s="214"/>
      <c r="CQ158" s="214"/>
      <c r="CR158" s="214"/>
      <c r="CS158" s="214"/>
      <c r="CT158" s="214"/>
      <c r="CU158" s="214"/>
      <c r="CV158" s="214"/>
      <c r="CW158" s="214"/>
      <c r="CX158" s="214"/>
      <c r="CY158" s="214"/>
      <c r="CZ158" s="214"/>
      <c r="DA158" s="214"/>
      <c r="DB158" s="214"/>
      <c r="DC158" s="214"/>
      <c r="DD158" s="214"/>
      <c r="DE158" s="214"/>
      <c r="DF158" s="214"/>
      <c r="DG158" s="214"/>
      <c r="DH158" s="214"/>
      <c r="DI158" s="214"/>
      <c r="DJ158" s="214"/>
      <c r="DK158" s="214"/>
      <c r="DL158" s="214"/>
      <c r="DM158" s="214"/>
      <c r="DN158" s="214"/>
      <c r="DO158" s="214"/>
      <c r="DP158" s="214"/>
      <c r="DQ158" s="214"/>
      <c r="DR158" s="214"/>
      <c r="DS158" s="214"/>
      <c r="DT158" s="214"/>
      <c r="DU158" s="214"/>
      <c r="DV158" s="214"/>
      <c r="DW158" s="214"/>
      <c r="DX158" s="214"/>
      <c r="DY158" s="214"/>
      <c r="DZ158" s="214"/>
      <c r="EA158" s="214"/>
      <c r="EB158" s="214"/>
      <c r="EC158" s="214"/>
      <c r="ED158" s="214"/>
      <c r="EE158" s="214"/>
      <c r="EF158" s="214"/>
      <c r="EG158" s="214"/>
      <c r="EH158" s="214"/>
      <c r="EI158" s="214"/>
      <c r="EJ158" s="214"/>
      <c r="EK158" s="214"/>
      <c r="EL158" s="214"/>
      <c r="EM158" s="214"/>
      <c r="EN158" s="214"/>
      <c r="EO158" s="214"/>
      <c r="EP158" s="214"/>
      <c r="EQ158" s="214"/>
      <c r="ER158" s="214"/>
      <c r="ES158" s="214"/>
      <c r="ET158" s="214"/>
      <c r="EU158" s="214"/>
      <c r="EV158" s="214"/>
      <c r="EW158" s="214"/>
      <c r="EX158" s="214"/>
      <c r="EY158" s="214"/>
      <c r="EZ158" s="214"/>
      <c r="FA158" s="214"/>
      <c r="FB158" s="214"/>
      <c r="FC158" s="214"/>
      <c r="FD158" s="214"/>
      <c r="FE158" s="214"/>
      <c r="FF158" s="214"/>
      <c r="FG158" s="214"/>
      <c r="FH158" s="214"/>
      <c r="FI158" s="214"/>
      <c r="FJ158" s="214"/>
      <c r="FK158" s="214"/>
      <c r="FL158" s="214"/>
      <c r="FM158" s="214"/>
      <c r="FN158" s="214"/>
      <c r="FO158" s="214"/>
      <c r="FP158" s="214"/>
      <c r="FQ158" s="214"/>
      <c r="FR158" s="214"/>
      <c r="FS158" s="214"/>
      <c r="FT158" s="214"/>
      <c r="FU158" s="214"/>
      <c r="FV158" s="214"/>
      <c r="FW158" s="214"/>
      <c r="FX158" s="214"/>
      <c r="FY158" s="214"/>
      <c r="FZ158" s="214"/>
      <c r="GA158" s="214"/>
      <c r="GB158" s="214"/>
      <c r="GC158" s="214"/>
      <c r="GD158" s="214"/>
      <c r="GE158" s="214"/>
      <c r="GF158" s="214"/>
      <c r="GG158" s="214"/>
      <c r="GH158" s="214"/>
      <c r="GI158" s="214"/>
      <c r="GJ158" s="214"/>
      <c r="GK158" s="214"/>
      <c r="GL158" s="214"/>
      <c r="GM158" s="214"/>
      <c r="GN158" s="214"/>
      <c r="GO158" s="214"/>
      <c r="GP158" s="214"/>
      <c r="GQ158" s="214"/>
      <c r="GR158" s="214"/>
      <c r="GS158" s="214"/>
      <c r="GT158" s="214"/>
      <c r="GU158" s="214"/>
      <c r="GV158" s="214"/>
      <c r="GW158" s="214"/>
      <c r="GX158" s="214"/>
      <c r="GY158" s="214"/>
      <c r="GZ158" s="214"/>
      <c r="HA158" s="214"/>
      <c r="HB158" s="214"/>
      <c r="HC158" s="214"/>
      <c r="HD158" s="214"/>
      <c r="HE158" s="214"/>
      <c r="HF158" s="214"/>
      <c r="HG158" s="214"/>
      <c r="HH158" s="214"/>
      <c r="HI158" s="214"/>
      <c r="HJ158" s="214"/>
      <c r="HK158" s="214"/>
      <c r="HL158" s="214"/>
      <c r="HM158" s="214"/>
      <c r="HN158" s="214"/>
      <c r="HO158" s="214"/>
      <c r="HP158" s="214"/>
      <c r="HQ158" s="214"/>
      <c r="HR158" s="214"/>
      <c r="HS158" s="214"/>
      <c r="HT158" s="214"/>
      <c r="HU158" s="214"/>
      <c r="HV158" s="214"/>
      <c r="HW158" s="214"/>
      <c r="HX158" s="214"/>
      <c r="HY158" s="214"/>
      <c r="HZ158" s="214"/>
      <c r="IA158" s="214"/>
      <c r="IB158" s="214"/>
      <c r="IC158" s="214"/>
      <c r="ID158" s="214"/>
      <c r="IE158" s="214"/>
      <c r="IF158" s="214"/>
      <c r="IG158" s="214"/>
      <c r="IH158" s="214"/>
      <c r="II158" s="214"/>
      <c r="IJ158" s="214"/>
      <c r="IK158" s="214"/>
      <c r="IL158" s="214"/>
      <c r="IM158" s="214"/>
      <c r="IN158" s="214"/>
      <c r="IO158" s="214"/>
      <c r="IP158" s="214"/>
      <c r="IQ158" s="214"/>
      <c r="IR158" s="214"/>
      <c r="IS158" s="214"/>
      <c r="IT158" s="214"/>
      <c r="IU158" s="214"/>
      <c r="IV158" s="214"/>
      <c r="IW158" s="214"/>
      <c r="IX158" s="214"/>
      <c r="IY158" s="214"/>
      <c r="IZ158" s="214"/>
      <c r="JA158" s="214"/>
      <c r="JB158" s="214"/>
      <c r="JC158" s="214"/>
      <c r="JD158" s="214"/>
      <c r="JE158" s="214"/>
      <c r="JF158" s="214"/>
      <c r="JG158" s="214"/>
      <c r="JH158" s="214"/>
      <c r="JI158" s="214"/>
    </row>
    <row r="159" spans="1:269">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14"/>
      <c r="DQ159" s="214"/>
      <c r="DR159" s="214"/>
      <c r="DS159" s="214"/>
      <c r="DT159" s="214"/>
      <c r="DU159" s="214"/>
      <c r="DV159" s="214"/>
      <c r="DW159" s="214"/>
      <c r="DX159" s="214"/>
      <c r="DY159" s="214"/>
      <c r="DZ159" s="214"/>
      <c r="EA159" s="214"/>
      <c r="EB159" s="214"/>
      <c r="EC159" s="214"/>
      <c r="ED159" s="214"/>
      <c r="EE159" s="214"/>
      <c r="EF159" s="214"/>
      <c r="EG159" s="214"/>
      <c r="EH159" s="214"/>
      <c r="EI159" s="214"/>
      <c r="EJ159" s="214"/>
      <c r="EK159" s="214"/>
      <c r="EL159" s="214"/>
      <c r="EM159" s="214"/>
      <c r="EN159" s="214"/>
      <c r="EO159" s="214"/>
      <c r="EP159" s="214"/>
      <c r="EQ159" s="214"/>
      <c r="ER159" s="214"/>
      <c r="ES159" s="214"/>
      <c r="ET159" s="214"/>
      <c r="EU159" s="214"/>
      <c r="EV159" s="214"/>
      <c r="EW159" s="214"/>
      <c r="EX159" s="214"/>
      <c r="EY159" s="214"/>
      <c r="EZ159" s="214"/>
      <c r="FA159" s="214"/>
      <c r="FB159" s="214"/>
      <c r="FC159" s="214"/>
      <c r="FD159" s="214"/>
      <c r="FE159" s="214"/>
      <c r="FF159" s="214"/>
      <c r="FG159" s="214"/>
      <c r="FH159" s="214"/>
      <c r="FI159" s="214"/>
      <c r="FJ159" s="214"/>
      <c r="FK159" s="214"/>
      <c r="FL159" s="214"/>
      <c r="FM159" s="214"/>
      <c r="FN159" s="214"/>
      <c r="FO159" s="214"/>
      <c r="FP159" s="214"/>
      <c r="FQ159" s="214"/>
      <c r="FR159" s="214"/>
      <c r="FS159" s="214"/>
      <c r="FT159" s="214"/>
      <c r="FU159" s="214"/>
      <c r="FV159" s="214"/>
      <c r="FW159" s="214"/>
      <c r="FX159" s="214"/>
      <c r="FY159" s="214"/>
      <c r="FZ159" s="214"/>
      <c r="GA159" s="214"/>
      <c r="GB159" s="214"/>
      <c r="GC159" s="214"/>
      <c r="GD159" s="214"/>
      <c r="GE159" s="214"/>
      <c r="GF159" s="214"/>
      <c r="GG159" s="214"/>
      <c r="GH159" s="214"/>
      <c r="GI159" s="214"/>
      <c r="GJ159" s="214"/>
      <c r="GK159" s="214"/>
      <c r="GL159" s="214"/>
      <c r="GM159" s="214"/>
      <c r="GN159" s="214"/>
      <c r="GO159" s="214"/>
      <c r="GP159" s="214"/>
      <c r="GQ159" s="214"/>
      <c r="GR159" s="214"/>
      <c r="GS159" s="214"/>
      <c r="GT159" s="214"/>
      <c r="GU159" s="214"/>
      <c r="GV159" s="214"/>
      <c r="GW159" s="214"/>
      <c r="GX159" s="214"/>
      <c r="GY159" s="214"/>
      <c r="GZ159" s="214"/>
      <c r="HA159" s="214"/>
      <c r="HB159" s="214"/>
      <c r="HC159" s="214"/>
      <c r="HD159" s="214"/>
      <c r="HE159" s="214"/>
      <c r="HF159" s="214"/>
      <c r="HG159" s="214"/>
      <c r="HH159" s="214"/>
      <c r="HI159" s="214"/>
      <c r="HJ159" s="214"/>
      <c r="HK159" s="214"/>
      <c r="HL159" s="214"/>
      <c r="HM159" s="214"/>
      <c r="HN159" s="214"/>
      <c r="HO159" s="214"/>
      <c r="HP159" s="214"/>
      <c r="HQ159" s="214"/>
      <c r="HR159" s="214"/>
      <c r="HS159" s="214"/>
      <c r="HT159" s="214"/>
      <c r="HU159" s="214"/>
      <c r="HV159" s="214"/>
      <c r="HW159" s="214"/>
      <c r="HX159" s="214"/>
      <c r="HY159" s="214"/>
      <c r="HZ159" s="214"/>
      <c r="IA159" s="214"/>
      <c r="IB159" s="214"/>
      <c r="IC159" s="214"/>
      <c r="ID159" s="214"/>
      <c r="IE159" s="214"/>
      <c r="IF159" s="214"/>
      <c r="IG159" s="214"/>
      <c r="IH159" s="214"/>
      <c r="II159" s="214"/>
      <c r="IJ159" s="214"/>
      <c r="IK159" s="214"/>
      <c r="IL159" s="214"/>
      <c r="IM159" s="214"/>
      <c r="IN159" s="214"/>
      <c r="IO159" s="214"/>
      <c r="IP159" s="214"/>
      <c r="IQ159" s="214"/>
      <c r="IR159" s="214"/>
      <c r="IS159" s="214"/>
      <c r="IT159" s="214"/>
      <c r="IU159" s="214"/>
      <c r="IV159" s="214"/>
      <c r="IW159" s="214"/>
      <c r="IX159" s="214"/>
      <c r="IY159" s="214"/>
      <c r="IZ159" s="214"/>
      <c r="JA159" s="214"/>
      <c r="JB159" s="214"/>
      <c r="JC159" s="214"/>
      <c r="JD159" s="214"/>
      <c r="JE159" s="214"/>
      <c r="JF159" s="214"/>
      <c r="JG159" s="214"/>
      <c r="JH159" s="214"/>
      <c r="JI159" s="214"/>
    </row>
    <row r="160" spans="1:269">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c r="CB160" s="214"/>
      <c r="CC160" s="214"/>
      <c r="CD160" s="214"/>
      <c r="CE160" s="214"/>
      <c r="CF160" s="214"/>
      <c r="CG160" s="214"/>
      <c r="CH160" s="214"/>
      <c r="CI160" s="214"/>
      <c r="CJ160" s="214"/>
      <c r="CK160" s="214"/>
      <c r="CL160" s="214"/>
      <c r="CM160" s="214"/>
      <c r="CN160" s="214"/>
      <c r="CO160" s="214"/>
      <c r="CP160" s="214"/>
      <c r="CQ160" s="214"/>
      <c r="CR160" s="214"/>
      <c r="CS160" s="214"/>
      <c r="CT160" s="214"/>
      <c r="CU160" s="214"/>
      <c r="CV160" s="214"/>
      <c r="CW160" s="214"/>
      <c r="CX160" s="214"/>
      <c r="CY160" s="214"/>
      <c r="CZ160" s="214"/>
      <c r="DA160" s="214"/>
      <c r="DB160" s="214"/>
      <c r="DC160" s="214"/>
      <c r="DD160" s="214"/>
      <c r="DE160" s="214"/>
      <c r="DF160" s="214"/>
      <c r="DG160" s="214"/>
      <c r="DH160" s="214"/>
      <c r="DI160" s="214"/>
      <c r="DJ160" s="214"/>
      <c r="DK160" s="214"/>
      <c r="DL160" s="214"/>
      <c r="DM160" s="214"/>
      <c r="DN160" s="214"/>
      <c r="DO160" s="214"/>
      <c r="DP160" s="214"/>
      <c r="DQ160" s="214"/>
      <c r="DR160" s="214"/>
      <c r="DS160" s="214"/>
      <c r="DT160" s="214"/>
      <c r="DU160" s="214"/>
      <c r="DV160" s="214"/>
      <c r="DW160" s="214"/>
      <c r="DX160" s="214"/>
      <c r="DY160" s="214"/>
      <c r="DZ160" s="214"/>
      <c r="EA160" s="214"/>
      <c r="EB160" s="214"/>
      <c r="EC160" s="214"/>
      <c r="ED160" s="214"/>
      <c r="EE160" s="214"/>
      <c r="EF160" s="214"/>
      <c r="EG160" s="214"/>
      <c r="EH160" s="214"/>
      <c r="EI160" s="214"/>
      <c r="EJ160" s="214"/>
      <c r="EK160" s="214"/>
      <c r="EL160" s="214"/>
      <c r="EM160" s="214"/>
      <c r="EN160" s="214"/>
      <c r="EO160" s="214"/>
      <c r="EP160" s="214"/>
      <c r="EQ160" s="214"/>
      <c r="ER160" s="214"/>
      <c r="ES160" s="214"/>
      <c r="ET160" s="214"/>
      <c r="EU160" s="214"/>
      <c r="EV160" s="214"/>
      <c r="EW160" s="214"/>
      <c r="EX160" s="214"/>
      <c r="EY160" s="214"/>
      <c r="EZ160" s="214"/>
      <c r="FA160" s="214"/>
      <c r="FB160" s="214"/>
      <c r="FC160" s="214"/>
      <c r="FD160" s="214"/>
      <c r="FE160" s="214"/>
      <c r="FF160" s="214"/>
      <c r="FG160" s="214"/>
      <c r="FH160" s="214"/>
      <c r="FI160" s="214"/>
      <c r="FJ160" s="214"/>
      <c r="FK160" s="214"/>
      <c r="FL160" s="214"/>
      <c r="FM160" s="214"/>
      <c r="FN160" s="214"/>
      <c r="FO160" s="214"/>
      <c r="FP160" s="214"/>
      <c r="FQ160" s="214"/>
      <c r="FR160" s="214"/>
      <c r="FS160" s="214"/>
      <c r="FT160" s="214"/>
      <c r="FU160" s="214"/>
      <c r="FV160" s="214"/>
      <c r="FW160" s="214"/>
      <c r="FX160" s="214"/>
      <c r="FY160" s="214"/>
      <c r="FZ160" s="214"/>
      <c r="GA160" s="214"/>
      <c r="GB160" s="214"/>
      <c r="GC160" s="214"/>
      <c r="GD160" s="214"/>
      <c r="GE160" s="214"/>
      <c r="GF160" s="214"/>
      <c r="GG160" s="214"/>
      <c r="GH160" s="214"/>
      <c r="GI160" s="214"/>
      <c r="GJ160" s="214"/>
      <c r="GK160" s="214"/>
      <c r="GL160" s="214"/>
      <c r="GM160" s="214"/>
      <c r="GN160" s="214"/>
      <c r="GO160" s="214"/>
      <c r="GP160" s="214"/>
      <c r="GQ160" s="214"/>
      <c r="GR160" s="214"/>
      <c r="GS160" s="214"/>
      <c r="GT160" s="214"/>
      <c r="GU160" s="214"/>
      <c r="GV160" s="214"/>
      <c r="GW160" s="214"/>
      <c r="GX160" s="214"/>
      <c r="GY160" s="214"/>
      <c r="GZ160" s="214"/>
      <c r="HA160" s="214"/>
      <c r="HB160" s="214"/>
      <c r="HC160" s="214"/>
      <c r="HD160" s="214"/>
      <c r="HE160" s="214"/>
      <c r="HF160" s="214"/>
      <c r="HG160" s="214"/>
      <c r="HH160" s="214"/>
      <c r="HI160" s="214"/>
      <c r="HJ160" s="214"/>
      <c r="HK160" s="214"/>
      <c r="HL160" s="214"/>
      <c r="HM160" s="214"/>
      <c r="HN160" s="214"/>
      <c r="HO160" s="214"/>
      <c r="HP160" s="214"/>
      <c r="HQ160" s="214"/>
      <c r="HR160" s="214"/>
      <c r="HS160" s="214"/>
      <c r="HT160" s="214"/>
      <c r="HU160" s="214"/>
      <c r="HV160" s="214"/>
      <c r="HW160" s="214"/>
      <c r="HX160" s="214"/>
      <c r="HY160" s="214"/>
      <c r="HZ160" s="214"/>
      <c r="IA160" s="214"/>
      <c r="IB160" s="214"/>
      <c r="IC160" s="214"/>
      <c r="ID160" s="214"/>
      <c r="IE160" s="214"/>
      <c r="IF160" s="214"/>
      <c r="IG160" s="214"/>
      <c r="IH160" s="214"/>
      <c r="II160" s="214"/>
      <c r="IJ160" s="214"/>
      <c r="IK160" s="214"/>
      <c r="IL160" s="214"/>
      <c r="IM160" s="214"/>
      <c r="IN160" s="214"/>
      <c r="IO160" s="214"/>
      <c r="IP160" s="214"/>
      <c r="IQ160" s="214"/>
      <c r="IR160" s="214"/>
      <c r="IS160" s="214"/>
      <c r="IT160" s="214"/>
      <c r="IU160" s="214"/>
      <c r="IV160" s="214"/>
      <c r="IW160" s="214"/>
      <c r="IX160" s="214"/>
      <c r="IY160" s="214"/>
      <c r="IZ160" s="214"/>
      <c r="JA160" s="214"/>
      <c r="JB160" s="214"/>
      <c r="JC160" s="214"/>
      <c r="JD160" s="214"/>
      <c r="JE160" s="214"/>
      <c r="JF160" s="214"/>
      <c r="JG160" s="214"/>
      <c r="JH160" s="214"/>
      <c r="JI160" s="214"/>
    </row>
    <row r="161" spans="1:269">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4"/>
      <c r="CP161" s="214"/>
      <c r="CQ161" s="214"/>
      <c r="CR161" s="214"/>
      <c r="CS161" s="214"/>
      <c r="CT161" s="214"/>
      <c r="CU161" s="214"/>
      <c r="CV161" s="214"/>
      <c r="CW161" s="214"/>
      <c r="CX161" s="214"/>
      <c r="CY161" s="214"/>
      <c r="CZ161" s="214"/>
      <c r="DA161" s="214"/>
      <c r="DB161" s="214"/>
      <c r="DC161" s="214"/>
      <c r="DD161" s="214"/>
      <c r="DE161" s="214"/>
      <c r="DF161" s="214"/>
      <c r="DG161" s="214"/>
      <c r="DH161" s="214"/>
      <c r="DI161" s="214"/>
      <c r="DJ161" s="214"/>
      <c r="DK161" s="214"/>
      <c r="DL161" s="214"/>
      <c r="DM161" s="214"/>
      <c r="DN161" s="214"/>
      <c r="DO161" s="214"/>
      <c r="DP161" s="214"/>
      <c r="DQ161" s="214"/>
      <c r="DR161" s="214"/>
      <c r="DS161" s="214"/>
      <c r="DT161" s="214"/>
      <c r="DU161" s="214"/>
      <c r="DV161" s="214"/>
      <c r="DW161" s="214"/>
      <c r="DX161" s="214"/>
      <c r="DY161" s="214"/>
      <c r="DZ161" s="214"/>
      <c r="EA161" s="214"/>
      <c r="EB161" s="214"/>
      <c r="EC161" s="214"/>
      <c r="ED161" s="214"/>
      <c r="EE161" s="214"/>
      <c r="EF161" s="214"/>
      <c r="EG161" s="214"/>
      <c r="EH161" s="214"/>
      <c r="EI161" s="214"/>
      <c r="EJ161" s="214"/>
      <c r="EK161" s="214"/>
      <c r="EL161" s="214"/>
      <c r="EM161" s="214"/>
      <c r="EN161" s="214"/>
      <c r="EO161" s="214"/>
      <c r="EP161" s="214"/>
      <c r="EQ161" s="214"/>
      <c r="ER161" s="214"/>
      <c r="ES161" s="214"/>
      <c r="ET161" s="214"/>
      <c r="EU161" s="214"/>
      <c r="EV161" s="214"/>
      <c r="EW161" s="214"/>
      <c r="EX161" s="214"/>
      <c r="EY161" s="214"/>
      <c r="EZ161" s="214"/>
      <c r="FA161" s="214"/>
      <c r="FB161" s="214"/>
      <c r="FC161" s="214"/>
      <c r="FD161" s="214"/>
      <c r="FE161" s="214"/>
      <c r="FF161" s="214"/>
      <c r="FG161" s="214"/>
      <c r="FH161" s="214"/>
      <c r="FI161" s="214"/>
      <c r="FJ161" s="214"/>
      <c r="FK161" s="214"/>
      <c r="FL161" s="214"/>
      <c r="FM161" s="214"/>
      <c r="FN161" s="214"/>
      <c r="FO161" s="214"/>
      <c r="FP161" s="214"/>
      <c r="FQ161" s="214"/>
      <c r="FR161" s="214"/>
      <c r="FS161" s="214"/>
      <c r="FT161" s="214"/>
      <c r="FU161" s="214"/>
      <c r="FV161" s="214"/>
      <c r="FW161" s="214"/>
      <c r="FX161" s="214"/>
      <c r="FY161" s="214"/>
      <c r="FZ161" s="214"/>
      <c r="GA161" s="214"/>
      <c r="GB161" s="214"/>
      <c r="GC161" s="214"/>
      <c r="GD161" s="214"/>
      <c r="GE161" s="214"/>
      <c r="GF161" s="214"/>
      <c r="GG161" s="214"/>
      <c r="GH161" s="214"/>
      <c r="GI161" s="214"/>
      <c r="GJ161" s="214"/>
      <c r="GK161" s="214"/>
      <c r="GL161" s="214"/>
      <c r="GM161" s="214"/>
      <c r="GN161" s="214"/>
      <c r="GO161" s="214"/>
      <c r="GP161" s="214"/>
      <c r="GQ161" s="214"/>
      <c r="GR161" s="214"/>
      <c r="GS161" s="214"/>
      <c r="GT161" s="214"/>
      <c r="GU161" s="214"/>
      <c r="GV161" s="214"/>
      <c r="GW161" s="214"/>
      <c r="GX161" s="214"/>
      <c r="GY161" s="214"/>
      <c r="GZ161" s="214"/>
      <c r="HA161" s="214"/>
      <c r="HB161" s="214"/>
      <c r="HC161" s="214"/>
      <c r="HD161" s="214"/>
      <c r="HE161" s="214"/>
      <c r="HF161" s="214"/>
      <c r="HG161" s="214"/>
      <c r="HH161" s="214"/>
      <c r="HI161" s="214"/>
      <c r="HJ161" s="214"/>
      <c r="HK161" s="214"/>
      <c r="HL161" s="214"/>
      <c r="HM161" s="214"/>
      <c r="HN161" s="214"/>
      <c r="HO161" s="214"/>
      <c r="HP161" s="214"/>
      <c r="HQ161" s="214"/>
      <c r="HR161" s="214"/>
      <c r="HS161" s="214"/>
      <c r="HT161" s="214"/>
      <c r="HU161" s="214"/>
      <c r="HV161" s="214"/>
      <c r="HW161" s="214"/>
      <c r="HX161" s="214"/>
      <c r="HY161" s="214"/>
      <c r="HZ161" s="214"/>
      <c r="IA161" s="214"/>
      <c r="IB161" s="214"/>
      <c r="IC161" s="214"/>
      <c r="ID161" s="214"/>
      <c r="IE161" s="214"/>
      <c r="IF161" s="214"/>
      <c r="IG161" s="214"/>
      <c r="IH161" s="214"/>
      <c r="II161" s="214"/>
      <c r="IJ161" s="214"/>
      <c r="IK161" s="214"/>
      <c r="IL161" s="214"/>
      <c r="IM161" s="214"/>
      <c r="IN161" s="214"/>
      <c r="IO161" s="214"/>
      <c r="IP161" s="214"/>
      <c r="IQ161" s="214"/>
      <c r="IR161" s="214"/>
      <c r="IS161" s="214"/>
      <c r="IT161" s="214"/>
      <c r="IU161" s="214"/>
      <c r="IV161" s="214"/>
      <c r="IW161" s="214"/>
      <c r="IX161" s="214"/>
      <c r="IY161" s="214"/>
      <c r="IZ161" s="214"/>
      <c r="JA161" s="214"/>
      <c r="JB161" s="214"/>
      <c r="JC161" s="214"/>
      <c r="JD161" s="214"/>
      <c r="JE161" s="214"/>
      <c r="JF161" s="214"/>
      <c r="JG161" s="214"/>
      <c r="JH161" s="214"/>
      <c r="JI161" s="214"/>
    </row>
    <row r="162" spans="1:269">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c r="HI162" s="214"/>
      <c r="HJ162" s="214"/>
      <c r="HK162" s="214"/>
      <c r="HL162" s="214"/>
      <c r="HM162" s="214"/>
      <c r="HN162" s="214"/>
      <c r="HO162" s="214"/>
      <c r="HP162" s="214"/>
      <c r="HQ162" s="214"/>
      <c r="HR162" s="214"/>
      <c r="HS162" s="214"/>
      <c r="HT162" s="214"/>
      <c r="HU162" s="214"/>
      <c r="HV162" s="214"/>
      <c r="HW162" s="214"/>
      <c r="HX162" s="214"/>
      <c r="HY162" s="214"/>
      <c r="HZ162" s="214"/>
      <c r="IA162" s="214"/>
      <c r="IB162" s="214"/>
      <c r="IC162" s="214"/>
      <c r="ID162" s="214"/>
      <c r="IE162" s="214"/>
      <c r="IF162" s="214"/>
      <c r="IG162" s="214"/>
      <c r="IH162" s="214"/>
      <c r="II162" s="214"/>
      <c r="IJ162" s="214"/>
      <c r="IK162" s="214"/>
      <c r="IL162" s="214"/>
      <c r="IM162" s="214"/>
      <c r="IN162" s="214"/>
      <c r="IO162" s="214"/>
      <c r="IP162" s="214"/>
      <c r="IQ162" s="214"/>
      <c r="IR162" s="214"/>
      <c r="IS162" s="214"/>
      <c r="IT162" s="214"/>
      <c r="IU162" s="214"/>
      <c r="IV162" s="214"/>
      <c r="IW162" s="214"/>
      <c r="IX162" s="214"/>
      <c r="IY162" s="214"/>
      <c r="IZ162" s="214"/>
      <c r="JA162" s="214"/>
      <c r="JB162" s="214"/>
      <c r="JC162" s="214"/>
      <c r="JD162" s="214"/>
      <c r="JE162" s="214"/>
      <c r="JF162" s="214"/>
      <c r="JG162" s="214"/>
      <c r="JH162" s="214"/>
      <c r="JI162" s="214"/>
    </row>
    <row r="163" spans="1:269">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214"/>
      <c r="CJ163" s="214"/>
      <c r="CK163" s="214"/>
      <c r="CL163" s="214"/>
      <c r="CM163" s="214"/>
      <c r="CN163" s="214"/>
      <c r="CO163" s="214"/>
      <c r="CP163" s="214"/>
      <c r="CQ163" s="214"/>
      <c r="CR163" s="214"/>
      <c r="CS163" s="214"/>
      <c r="CT163" s="214"/>
      <c r="CU163" s="214"/>
      <c r="CV163" s="214"/>
      <c r="CW163" s="214"/>
      <c r="CX163" s="214"/>
      <c r="CY163" s="214"/>
      <c r="CZ163" s="214"/>
      <c r="DA163" s="214"/>
      <c r="DB163" s="214"/>
      <c r="DC163" s="214"/>
      <c r="DD163" s="214"/>
      <c r="DE163" s="214"/>
      <c r="DF163" s="214"/>
      <c r="DG163" s="214"/>
      <c r="DH163" s="214"/>
      <c r="DI163" s="214"/>
      <c r="DJ163" s="214"/>
      <c r="DK163" s="214"/>
      <c r="DL163" s="214"/>
      <c r="DM163" s="214"/>
      <c r="DN163" s="214"/>
      <c r="DO163" s="214"/>
      <c r="DP163" s="214"/>
      <c r="DQ163" s="214"/>
      <c r="DR163" s="214"/>
      <c r="DS163" s="214"/>
      <c r="DT163" s="214"/>
      <c r="DU163" s="214"/>
      <c r="DV163" s="214"/>
      <c r="DW163" s="214"/>
      <c r="DX163" s="214"/>
      <c r="DY163" s="214"/>
      <c r="DZ163" s="214"/>
      <c r="EA163" s="214"/>
      <c r="EB163" s="214"/>
      <c r="EC163" s="214"/>
      <c r="ED163" s="214"/>
      <c r="EE163" s="214"/>
      <c r="EF163" s="214"/>
      <c r="EG163" s="214"/>
      <c r="EH163" s="214"/>
      <c r="EI163" s="214"/>
      <c r="EJ163" s="214"/>
      <c r="EK163" s="214"/>
      <c r="EL163" s="214"/>
      <c r="EM163" s="214"/>
      <c r="EN163" s="214"/>
      <c r="EO163" s="214"/>
      <c r="EP163" s="214"/>
      <c r="EQ163" s="214"/>
      <c r="ER163" s="214"/>
      <c r="ES163" s="214"/>
      <c r="ET163" s="214"/>
      <c r="EU163" s="214"/>
      <c r="EV163" s="214"/>
      <c r="EW163" s="214"/>
      <c r="EX163" s="214"/>
      <c r="EY163" s="214"/>
      <c r="EZ163" s="214"/>
      <c r="FA163" s="214"/>
      <c r="FB163" s="214"/>
      <c r="FC163" s="214"/>
      <c r="FD163" s="214"/>
      <c r="FE163" s="214"/>
      <c r="FF163" s="214"/>
      <c r="FG163" s="214"/>
      <c r="FH163" s="214"/>
      <c r="FI163" s="214"/>
      <c r="FJ163" s="214"/>
      <c r="FK163" s="214"/>
      <c r="FL163" s="214"/>
      <c r="FM163" s="214"/>
      <c r="FN163" s="214"/>
      <c r="FO163" s="214"/>
      <c r="FP163" s="214"/>
      <c r="FQ163" s="214"/>
      <c r="FR163" s="214"/>
      <c r="FS163" s="214"/>
      <c r="FT163" s="214"/>
      <c r="FU163" s="214"/>
      <c r="FV163" s="214"/>
      <c r="FW163" s="214"/>
      <c r="FX163" s="214"/>
      <c r="FY163" s="214"/>
      <c r="FZ163" s="214"/>
      <c r="GA163" s="214"/>
      <c r="GB163" s="214"/>
      <c r="GC163" s="214"/>
      <c r="GD163" s="214"/>
      <c r="GE163" s="214"/>
      <c r="GF163" s="214"/>
      <c r="GG163" s="214"/>
      <c r="GH163" s="214"/>
      <c r="GI163" s="214"/>
      <c r="GJ163" s="214"/>
      <c r="GK163" s="214"/>
      <c r="GL163" s="214"/>
      <c r="GM163" s="214"/>
      <c r="GN163" s="214"/>
      <c r="GO163" s="214"/>
      <c r="GP163" s="214"/>
      <c r="GQ163" s="214"/>
      <c r="GR163" s="214"/>
      <c r="GS163" s="214"/>
      <c r="GT163" s="214"/>
      <c r="GU163" s="214"/>
      <c r="GV163" s="214"/>
      <c r="GW163" s="214"/>
      <c r="GX163" s="214"/>
      <c r="GY163" s="214"/>
      <c r="GZ163" s="214"/>
      <c r="HA163" s="214"/>
      <c r="HB163" s="214"/>
      <c r="HC163" s="214"/>
      <c r="HD163" s="214"/>
      <c r="HE163" s="214"/>
      <c r="HF163" s="214"/>
      <c r="HG163" s="214"/>
      <c r="HH163" s="214"/>
      <c r="HI163" s="214"/>
      <c r="HJ163" s="214"/>
      <c r="HK163" s="214"/>
      <c r="HL163" s="214"/>
      <c r="HM163" s="214"/>
      <c r="HN163" s="214"/>
      <c r="HO163" s="214"/>
      <c r="HP163" s="214"/>
      <c r="HQ163" s="214"/>
      <c r="HR163" s="214"/>
      <c r="HS163" s="214"/>
      <c r="HT163" s="214"/>
      <c r="HU163" s="214"/>
      <c r="HV163" s="214"/>
      <c r="HW163" s="214"/>
      <c r="HX163" s="214"/>
      <c r="HY163" s="214"/>
      <c r="HZ163" s="214"/>
      <c r="IA163" s="214"/>
      <c r="IB163" s="214"/>
      <c r="IC163" s="214"/>
      <c r="ID163" s="214"/>
      <c r="IE163" s="214"/>
      <c r="IF163" s="214"/>
      <c r="IG163" s="214"/>
      <c r="IH163" s="214"/>
      <c r="II163" s="214"/>
      <c r="IJ163" s="214"/>
      <c r="IK163" s="214"/>
      <c r="IL163" s="214"/>
      <c r="IM163" s="214"/>
      <c r="IN163" s="214"/>
      <c r="IO163" s="214"/>
      <c r="IP163" s="214"/>
      <c r="IQ163" s="214"/>
      <c r="IR163" s="214"/>
      <c r="IS163" s="214"/>
      <c r="IT163" s="214"/>
      <c r="IU163" s="214"/>
      <c r="IV163" s="214"/>
      <c r="IW163" s="214"/>
      <c r="IX163" s="214"/>
      <c r="IY163" s="214"/>
      <c r="IZ163" s="214"/>
      <c r="JA163" s="214"/>
      <c r="JB163" s="214"/>
      <c r="JC163" s="214"/>
      <c r="JD163" s="214"/>
      <c r="JE163" s="214"/>
      <c r="JF163" s="214"/>
      <c r="JG163" s="214"/>
      <c r="JH163" s="214"/>
      <c r="JI163" s="214"/>
    </row>
    <row r="164" spans="1:269">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214"/>
      <c r="CA164" s="214"/>
      <c r="CB164" s="214"/>
      <c r="CC164" s="214"/>
      <c r="CD164" s="214"/>
      <c r="CE164" s="214"/>
      <c r="CF164" s="214"/>
      <c r="CG164" s="214"/>
      <c r="CH164" s="214"/>
      <c r="CI164" s="214"/>
      <c r="CJ164" s="214"/>
      <c r="CK164" s="214"/>
      <c r="CL164" s="214"/>
      <c r="CM164" s="214"/>
      <c r="CN164" s="214"/>
      <c r="CO164" s="214"/>
      <c r="CP164" s="214"/>
      <c r="CQ164" s="214"/>
      <c r="CR164" s="214"/>
      <c r="CS164" s="214"/>
      <c r="CT164" s="214"/>
      <c r="CU164" s="214"/>
      <c r="CV164" s="214"/>
      <c r="CW164" s="214"/>
      <c r="CX164" s="214"/>
      <c r="CY164" s="214"/>
      <c r="CZ164" s="214"/>
      <c r="DA164" s="214"/>
      <c r="DB164" s="214"/>
      <c r="DC164" s="214"/>
      <c r="DD164" s="214"/>
      <c r="DE164" s="214"/>
      <c r="DF164" s="214"/>
      <c r="DG164" s="214"/>
      <c r="DH164" s="214"/>
      <c r="DI164" s="214"/>
      <c r="DJ164" s="214"/>
      <c r="DK164" s="214"/>
      <c r="DL164" s="214"/>
      <c r="DM164" s="214"/>
      <c r="DN164" s="214"/>
      <c r="DO164" s="214"/>
      <c r="DP164" s="214"/>
      <c r="DQ164" s="214"/>
      <c r="DR164" s="214"/>
      <c r="DS164" s="214"/>
      <c r="DT164" s="214"/>
      <c r="DU164" s="214"/>
      <c r="DV164" s="214"/>
      <c r="DW164" s="214"/>
      <c r="DX164" s="214"/>
      <c r="DY164" s="214"/>
      <c r="DZ164" s="214"/>
      <c r="EA164" s="214"/>
      <c r="EB164" s="214"/>
      <c r="EC164" s="214"/>
      <c r="ED164" s="214"/>
      <c r="EE164" s="214"/>
      <c r="EF164" s="214"/>
      <c r="EG164" s="214"/>
      <c r="EH164" s="214"/>
      <c r="EI164" s="214"/>
      <c r="EJ164" s="214"/>
      <c r="EK164" s="214"/>
      <c r="EL164" s="214"/>
      <c r="EM164" s="214"/>
      <c r="EN164" s="214"/>
      <c r="EO164" s="214"/>
      <c r="EP164" s="214"/>
      <c r="EQ164" s="214"/>
      <c r="ER164" s="214"/>
      <c r="ES164" s="214"/>
      <c r="ET164" s="214"/>
      <c r="EU164" s="214"/>
      <c r="EV164" s="214"/>
      <c r="EW164" s="214"/>
      <c r="EX164" s="214"/>
      <c r="EY164" s="214"/>
      <c r="EZ164" s="214"/>
      <c r="FA164" s="214"/>
      <c r="FB164" s="214"/>
      <c r="FC164" s="214"/>
      <c r="FD164" s="214"/>
      <c r="FE164" s="214"/>
      <c r="FF164" s="214"/>
      <c r="FG164" s="214"/>
      <c r="FH164" s="214"/>
      <c r="FI164" s="214"/>
      <c r="FJ164" s="214"/>
      <c r="FK164" s="214"/>
      <c r="FL164" s="214"/>
      <c r="FM164" s="214"/>
      <c r="FN164" s="214"/>
      <c r="FO164" s="214"/>
      <c r="FP164" s="214"/>
      <c r="FQ164" s="214"/>
      <c r="FR164" s="214"/>
      <c r="FS164" s="214"/>
      <c r="FT164" s="214"/>
      <c r="FU164" s="214"/>
      <c r="FV164" s="214"/>
      <c r="FW164" s="214"/>
      <c r="FX164" s="214"/>
      <c r="FY164" s="214"/>
      <c r="FZ164" s="214"/>
      <c r="GA164" s="214"/>
      <c r="GB164" s="214"/>
      <c r="GC164" s="214"/>
      <c r="GD164" s="214"/>
      <c r="GE164" s="214"/>
      <c r="GF164" s="214"/>
      <c r="GG164" s="214"/>
      <c r="GH164" s="214"/>
      <c r="GI164" s="214"/>
      <c r="GJ164" s="214"/>
      <c r="GK164" s="214"/>
      <c r="GL164" s="214"/>
      <c r="GM164" s="214"/>
      <c r="GN164" s="214"/>
      <c r="GO164" s="214"/>
      <c r="GP164" s="214"/>
      <c r="GQ164" s="214"/>
      <c r="GR164" s="214"/>
      <c r="GS164" s="214"/>
      <c r="GT164" s="214"/>
      <c r="GU164" s="214"/>
      <c r="GV164" s="214"/>
      <c r="GW164" s="214"/>
      <c r="GX164" s="214"/>
      <c r="GY164" s="214"/>
      <c r="GZ164" s="214"/>
      <c r="HA164" s="214"/>
      <c r="HB164" s="214"/>
      <c r="HC164" s="214"/>
      <c r="HD164" s="214"/>
      <c r="HE164" s="214"/>
      <c r="HF164" s="214"/>
      <c r="HG164" s="214"/>
      <c r="HH164" s="214"/>
      <c r="HI164" s="214"/>
      <c r="HJ164" s="214"/>
      <c r="HK164" s="214"/>
      <c r="HL164" s="214"/>
      <c r="HM164" s="214"/>
      <c r="HN164" s="214"/>
      <c r="HO164" s="214"/>
      <c r="HP164" s="214"/>
      <c r="HQ164" s="214"/>
      <c r="HR164" s="214"/>
      <c r="HS164" s="214"/>
      <c r="HT164" s="214"/>
      <c r="HU164" s="214"/>
      <c r="HV164" s="214"/>
      <c r="HW164" s="214"/>
      <c r="HX164" s="214"/>
      <c r="HY164" s="214"/>
      <c r="HZ164" s="214"/>
      <c r="IA164" s="214"/>
      <c r="IB164" s="214"/>
      <c r="IC164" s="214"/>
      <c r="ID164" s="214"/>
      <c r="IE164" s="214"/>
      <c r="IF164" s="214"/>
      <c r="IG164" s="214"/>
      <c r="IH164" s="214"/>
      <c r="II164" s="214"/>
      <c r="IJ164" s="214"/>
      <c r="IK164" s="214"/>
      <c r="IL164" s="214"/>
      <c r="IM164" s="214"/>
      <c r="IN164" s="214"/>
      <c r="IO164" s="214"/>
      <c r="IP164" s="214"/>
      <c r="IQ164" s="214"/>
      <c r="IR164" s="214"/>
      <c r="IS164" s="214"/>
      <c r="IT164" s="214"/>
      <c r="IU164" s="214"/>
      <c r="IV164" s="214"/>
      <c r="IW164" s="214"/>
      <c r="IX164" s="214"/>
      <c r="IY164" s="214"/>
      <c r="IZ164" s="214"/>
      <c r="JA164" s="214"/>
      <c r="JB164" s="214"/>
      <c r="JC164" s="214"/>
      <c r="JD164" s="214"/>
      <c r="JE164" s="214"/>
      <c r="JF164" s="214"/>
      <c r="JG164" s="214"/>
      <c r="JH164" s="214"/>
      <c r="JI164" s="214"/>
    </row>
    <row r="165" spans="1:269">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214"/>
      <c r="CI165" s="214"/>
      <c r="CJ165" s="214"/>
      <c r="CK165" s="214"/>
      <c r="CL165" s="214"/>
      <c r="CM165" s="214"/>
      <c r="CN165" s="214"/>
      <c r="CO165" s="214"/>
      <c r="CP165" s="214"/>
      <c r="CQ165" s="214"/>
      <c r="CR165" s="214"/>
      <c r="CS165" s="214"/>
      <c r="CT165" s="214"/>
      <c r="CU165" s="214"/>
      <c r="CV165" s="214"/>
      <c r="CW165" s="214"/>
      <c r="CX165" s="214"/>
      <c r="CY165" s="214"/>
      <c r="CZ165" s="214"/>
      <c r="DA165" s="214"/>
      <c r="DB165" s="214"/>
      <c r="DC165" s="214"/>
      <c r="DD165" s="214"/>
      <c r="DE165" s="214"/>
      <c r="DF165" s="214"/>
      <c r="DG165" s="214"/>
      <c r="DH165" s="214"/>
      <c r="DI165" s="214"/>
      <c r="DJ165" s="214"/>
      <c r="DK165" s="214"/>
      <c r="DL165" s="214"/>
      <c r="DM165" s="214"/>
      <c r="DN165" s="214"/>
      <c r="DO165" s="214"/>
      <c r="DP165" s="214"/>
      <c r="DQ165" s="214"/>
      <c r="DR165" s="214"/>
      <c r="DS165" s="214"/>
      <c r="DT165" s="214"/>
      <c r="DU165" s="214"/>
      <c r="DV165" s="214"/>
      <c r="DW165" s="214"/>
      <c r="DX165" s="214"/>
      <c r="DY165" s="214"/>
      <c r="DZ165" s="214"/>
      <c r="EA165" s="214"/>
      <c r="EB165" s="214"/>
      <c r="EC165" s="214"/>
      <c r="ED165" s="214"/>
      <c r="EE165" s="214"/>
      <c r="EF165" s="214"/>
      <c r="EG165" s="214"/>
      <c r="EH165" s="214"/>
      <c r="EI165" s="214"/>
      <c r="EJ165" s="214"/>
      <c r="EK165" s="214"/>
      <c r="EL165" s="214"/>
      <c r="EM165" s="214"/>
      <c r="EN165" s="214"/>
      <c r="EO165" s="214"/>
      <c r="EP165" s="214"/>
      <c r="EQ165" s="214"/>
      <c r="ER165" s="214"/>
      <c r="ES165" s="214"/>
      <c r="ET165" s="214"/>
      <c r="EU165" s="214"/>
      <c r="EV165" s="214"/>
      <c r="EW165" s="214"/>
      <c r="EX165" s="214"/>
      <c r="EY165" s="214"/>
      <c r="EZ165" s="214"/>
      <c r="FA165" s="214"/>
      <c r="FB165" s="214"/>
      <c r="FC165" s="214"/>
      <c r="FD165" s="214"/>
      <c r="FE165" s="214"/>
      <c r="FF165" s="214"/>
      <c r="FG165" s="214"/>
      <c r="FH165" s="214"/>
      <c r="FI165" s="214"/>
      <c r="FJ165" s="214"/>
      <c r="FK165" s="214"/>
      <c r="FL165" s="214"/>
      <c r="FM165" s="214"/>
      <c r="FN165" s="214"/>
      <c r="FO165" s="214"/>
      <c r="FP165" s="214"/>
      <c r="FQ165" s="214"/>
      <c r="FR165" s="214"/>
      <c r="FS165" s="214"/>
      <c r="FT165" s="214"/>
      <c r="FU165" s="214"/>
      <c r="FV165" s="214"/>
      <c r="FW165" s="214"/>
      <c r="FX165" s="214"/>
      <c r="FY165" s="214"/>
      <c r="FZ165" s="214"/>
      <c r="GA165" s="214"/>
      <c r="GB165" s="214"/>
      <c r="GC165" s="214"/>
      <c r="GD165" s="214"/>
      <c r="GE165" s="214"/>
      <c r="GF165" s="214"/>
      <c r="GG165" s="214"/>
      <c r="GH165" s="214"/>
      <c r="GI165" s="214"/>
      <c r="GJ165" s="214"/>
      <c r="GK165" s="214"/>
      <c r="GL165" s="214"/>
      <c r="GM165" s="214"/>
      <c r="GN165" s="214"/>
      <c r="GO165" s="214"/>
      <c r="GP165" s="214"/>
      <c r="GQ165" s="214"/>
      <c r="GR165" s="214"/>
      <c r="GS165" s="214"/>
      <c r="GT165" s="214"/>
      <c r="GU165" s="214"/>
      <c r="GV165" s="214"/>
      <c r="GW165" s="214"/>
      <c r="GX165" s="214"/>
      <c r="GY165" s="214"/>
      <c r="GZ165" s="214"/>
      <c r="HA165" s="214"/>
      <c r="HB165" s="214"/>
      <c r="HC165" s="214"/>
      <c r="HD165" s="214"/>
      <c r="HE165" s="214"/>
      <c r="HF165" s="214"/>
      <c r="HG165" s="214"/>
      <c r="HH165" s="214"/>
      <c r="HI165" s="214"/>
      <c r="HJ165" s="214"/>
      <c r="HK165" s="214"/>
      <c r="HL165" s="214"/>
      <c r="HM165" s="214"/>
      <c r="HN165" s="214"/>
      <c r="HO165" s="214"/>
      <c r="HP165" s="214"/>
      <c r="HQ165" s="214"/>
      <c r="HR165" s="214"/>
      <c r="HS165" s="214"/>
      <c r="HT165" s="214"/>
      <c r="HU165" s="214"/>
      <c r="HV165" s="214"/>
      <c r="HW165" s="214"/>
      <c r="HX165" s="214"/>
      <c r="HY165" s="214"/>
      <c r="HZ165" s="214"/>
      <c r="IA165" s="214"/>
      <c r="IB165" s="214"/>
      <c r="IC165" s="214"/>
      <c r="ID165" s="214"/>
      <c r="IE165" s="214"/>
      <c r="IF165" s="214"/>
      <c r="IG165" s="214"/>
      <c r="IH165" s="214"/>
      <c r="II165" s="214"/>
      <c r="IJ165" s="214"/>
      <c r="IK165" s="214"/>
      <c r="IL165" s="214"/>
      <c r="IM165" s="214"/>
      <c r="IN165" s="214"/>
      <c r="IO165" s="214"/>
      <c r="IP165" s="214"/>
      <c r="IQ165" s="214"/>
      <c r="IR165" s="214"/>
      <c r="IS165" s="214"/>
      <c r="IT165" s="214"/>
      <c r="IU165" s="214"/>
      <c r="IV165" s="214"/>
      <c r="IW165" s="214"/>
      <c r="IX165" s="214"/>
      <c r="IY165" s="214"/>
      <c r="IZ165" s="214"/>
      <c r="JA165" s="214"/>
      <c r="JB165" s="214"/>
      <c r="JC165" s="214"/>
      <c r="JD165" s="214"/>
      <c r="JE165" s="214"/>
      <c r="JF165" s="214"/>
      <c r="JG165" s="214"/>
      <c r="JH165" s="214"/>
      <c r="JI165" s="214"/>
    </row>
    <row r="166" spans="1:269">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214"/>
      <c r="IQ166" s="214"/>
      <c r="IR166" s="214"/>
      <c r="IS166" s="214"/>
      <c r="IT166" s="214"/>
      <c r="IU166" s="214"/>
      <c r="IV166" s="214"/>
      <c r="IW166" s="214"/>
      <c r="IX166" s="214"/>
      <c r="IY166" s="214"/>
      <c r="IZ166" s="214"/>
      <c r="JA166" s="214"/>
      <c r="JB166" s="214"/>
      <c r="JC166" s="214"/>
      <c r="JD166" s="214"/>
      <c r="JE166" s="214"/>
      <c r="JF166" s="214"/>
      <c r="JG166" s="214"/>
      <c r="JH166" s="214"/>
      <c r="JI166" s="214"/>
    </row>
    <row r="167" spans="1:269">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c r="FW167" s="214"/>
      <c r="FX167" s="214"/>
      <c r="FY167" s="214"/>
      <c r="FZ167" s="214"/>
      <c r="GA167" s="214"/>
      <c r="GB167" s="214"/>
      <c r="GC167" s="214"/>
      <c r="GD167" s="214"/>
      <c r="GE167" s="214"/>
      <c r="GF167" s="214"/>
      <c r="GG167" s="214"/>
      <c r="GH167" s="214"/>
      <c r="GI167" s="214"/>
      <c r="GJ167" s="214"/>
      <c r="GK167" s="214"/>
      <c r="GL167" s="214"/>
      <c r="GM167" s="214"/>
      <c r="GN167" s="214"/>
      <c r="GO167" s="214"/>
      <c r="GP167" s="214"/>
      <c r="GQ167" s="214"/>
      <c r="GR167" s="214"/>
      <c r="GS167" s="214"/>
      <c r="GT167" s="214"/>
      <c r="GU167" s="214"/>
      <c r="GV167" s="214"/>
      <c r="GW167" s="214"/>
      <c r="GX167" s="214"/>
      <c r="GY167" s="214"/>
      <c r="GZ167" s="214"/>
      <c r="HA167" s="214"/>
      <c r="HB167" s="214"/>
      <c r="HC167" s="214"/>
      <c r="HD167" s="214"/>
      <c r="HE167" s="214"/>
      <c r="HF167" s="214"/>
      <c r="HG167" s="214"/>
      <c r="HH167" s="214"/>
      <c r="HI167" s="214"/>
      <c r="HJ167" s="214"/>
      <c r="HK167" s="214"/>
      <c r="HL167" s="214"/>
      <c r="HM167" s="214"/>
      <c r="HN167" s="214"/>
      <c r="HO167" s="214"/>
      <c r="HP167" s="214"/>
      <c r="HQ167" s="214"/>
      <c r="HR167" s="214"/>
      <c r="HS167" s="214"/>
      <c r="HT167" s="214"/>
      <c r="HU167" s="214"/>
      <c r="HV167" s="214"/>
      <c r="HW167" s="214"/>
      <c r="HX167" s="214"/>
      <c r="HY167" s="214"/>
      <c r="HZ167" s="214"/>
      <c r="IA167" s="214"/>
      <c r="IB167" s="214"/>
      <c r="IC167" s="214"/>
      <c r="ID167" s="214"/>
      <c r="IE167" s="214"/>
      <c r="IF167" s="214"/>
      <c r="IG167" s="214"/>
      <c r="IH167" s="214"/>
      <c r="II167" s="214"/>
      <c r="IJ167" s="214"/>
      <c r="IK167" s="214"/>
      <c r="IL167" s="214"/>
      <c r="IM167" s="214"/>
      <c r="IN167" s="214"/>
      <c r="IO167" s="214"/>
      <c r="IP167" s="214"/>
      <c r="IQ167" s="214"/>
      <c r="IR167" s="214"/>
      <c r="IS167" s="214"/>
      <c r="IT167" s="214"/>
      <c r="IU167" s="214"/>
      <c r="IV167" s="214"/>
      <c r="IW167" s="214"/>
      <c r="IX167" s="214"/>
      <c r="IY167" s="214"/>
      <c r="IZ167" s="214"/>
      <c r="JA167" s="214"/>
      <c r="JB167" s="214"/>
      <c r="JC167" s="214"/>
      <c r="JD167" s="214"/>
      <c r="JE167" s="214"/>
      <c r="JF167" s="214"/>
      <c r="JG167" s="214"/>
      <c r="JH167" s="214"/>
      <c r="JI167" s="214"/>
    </row>
    <row r="168" spans="1:269">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214"/>
      <c r="CC168" s="214"/>
      <c r="CD168" s="214"/>
      <c r="CE168" s="214"/>
      <c r="CF168" s="214"/>
      <c r="CG168" s="214"/>
      <c r="CH168" s="214"/>
      <c r="CI168" s="214"/>
      <c r="CJ168" s="214"/>
      <c r="CK168" s="214"/>
      <c r="CL168" s="214"/>
      <c r="CM168" s="214"/>
      <c r="CN168" s="214"/>
      <c r="CO168" s="214"/>
      <c r="CP168" s="214"/>
      <c r="CQ168" s="214"/>
      <c r="CR168" s="214"/>
      <c r="CS168" s="214"/>
      <c r="CT168" s="214"/>
      <c r="CU168" s="214"/>
      <c r="CV168" s="214"/>
      <c r="CW168" s="214"/>
      <c r="CX168" s="214"/>
      <c r="CY168" s="214"/>
      <c r="CZ168" s="214"/>
      <c r="DA168" s="214"/>
      <c r="DB168" s="214"/>
      <c r="DC168" s="214"/>
      <c r="DD168" s="214"/>
      <c r="DE168" s="214"/>
      <c r="DF168" s="214"/>
      <c r="DG168" s="214"/>
      <c r="DH168" s="214"/>
      <c r="DI168" s="214"/>
      <c r="DJ168" s="214"/>
      <c r="DK168" s="214"/>
      <c r="DL168" s="214"/>
      <c r="DM168" s="214"/>
      <c r="DN168" s="214"/>
      <c r="DO168" s="214"/>
      <c r="DP168" s="214"/>
      <c r="DQ168" s="214"/>
      <c r="DR168" s="214"/>
      <c r="DS168" s="214"/>
      <c r="DT168" s="214"/>
      <c r="DU168" s="214"/>
      <c r="DV168" s="214"/>
      <c r="DW168" s="214"/>
      <c r="DX168" s="214"/>
      <c r="DY168" s="214"/>
      <c r="DZ168" s="214"/>
      <c r="EA168" s="214"/>
      <c r="EB168" s="214"/>
      <c r="EC168" s="214"/>
      <c r="ED168" s="214"/>
      <c r="EE168" s="214"/>
      <c r="EF168" s="214"/>
      <c r="EG168" s="214"/>
      <c r="EH168" s="214"/>
      <c r="EI168" s="214"/>
      <c r="EJ168" s="214"/>
      <c r="EK168" s="214"/>
      <c r="EL168" s="214"/>
      <c r="EM168" s="214"/>
      <c r="EN168" s="214"/>
      <c r="EO168" s="214"/>
      <c r="EP168" s="214"/>
      <c r="EQ168" s="214"/>
      <c r="ER168" s="214"/>
      <c r="ES168" s="214"/>
      <c r="ET168" s="214"/>
      <c r="EU168" s="214"/>
      <c r="EV168" s="214"/>
      <c r="EW168" s="214"/>
      <c r="EX168" s="214"/>
      <c r="EY168" s="214"/>
      <c r="EZ168" s="214"/>
      <c r="FA168" s="214"/>
      <c r="FB168" s="214"/>
      <c r="FC168" s="214"/>
      <c r="FD168" s="214"/>
      <c r="FE168" s="214"/>
      <c r="FF168" s="214"/>
      <c r="FG168" s="214"/>
      <c r="FH168" s="214"/>
      <c r="FI168" s="214"/>
      <c r="FJ168" s="214"/>
      <c r="FK168" s="214"/>
      <c r="FL168" s="214"/>
      <c r="FM168" s="214"/>
      <c r="FN168" s="214"/>
      <c r="FO168" s="214"/>
      <c r="FP168" s="214"/>
      <c r="FQ168" s="214"/>
      <c r="FR168" s="214"/>
      <c r="FS168" s="214"/>
      <c r="FT168" s="214"/>
      <c r="FU168" s="214"/>
      <c r="FV168" s="214"/>
      <c r="FW168" s="214"/>
      <c r="FX168" s="214"/>
      <c r="FY168" s="214"/>
      <c r="FZ168" s="214"/>
      <c r="GA168" s="214"/>
      <c r="GB168" s="214"/>
      <c r="GC168" s="214"/>
      <c r="GD168" s="214"/>
      <c r="GE168" s="214"/>
      <c r="GF168" s="214"/>
      <c r="GG168" s="214"/>
      <c r="GH168" s="214"/>
      <c r="GI168" s="214"/>
      <c r="GJ168" s="214"/>
      <c r="GK168" s="214"/>
      <c r="GL168" s="214"/>
      <c r="GM168" s="214"/>
      <c r="GN168" s="214"/>
      <c r="GO168" s="214"/>
      <c r="GP168" s="214"/>
      <c r="GQ168" s="214"/>
      <c r="GR168" s="214"/>
      <c r="GS168" s="214"/>
      <c r="GT168" s="214"/>
      <c r="GU168" s="214"/>
      <c r="GV168" s="214"/>
      <c r="GW168" s="214"/>
      <c r="GX168" s="214"/>
      <c r="GY168" s="214"/>
      <c r="GZ168" s="214"/>
      <c r="HA168" s="214"/>
      <c r="HB168" s="214"/>
      <c r="HC168" s="214"/>
      <c r="HD168" s="214"/>
      <c r="HE168" s="214"/>
      <c r="HF168" s="214"/>
      <c r="HG168" s="214"/>
      <c r="HH168" s="214"/>
      <c r="HI168" s="214"/>
      <c r="HJ168" s="214"/>
      <c r="HK168" s="214"/>
      <c r="HL168" s="214"/>
      <c r="HM168" s="214"/>
      <c r="HN168" s="214"/>
      <c r="HO168" s="214"/>
      <c r="HP168" s="214"/>
      <c r="HQ168" s="214"/>
      <c r="HR168" s="214"/>
      <c r="HS168" s="214"/>
      <c r="HT168" s="214"/>
      <c r="HU168" s="214"/>
      <c r="HV168" s="214"/>
      <c r="HW168" s="214"/>
      <c r="HX168" s="214"/>
      <c r="HY168" s="214"/>
      <c r="HZ168" s="214"/>
      <c r="IA168" s="214"/>
      <c r="IB168" s="214"/>
      <c r="IC168" s="214"/>
      <c r="ID168" s="214"/>
      <c r="IE168" s="214"/>
      <c r="IF168" s="214"/>
      <c r="IG168" s="214"/>
      <c r="IH168" s="214"/>
      <c r="II168" s="214"/>
      <c r="IJ168" s="214"/>
      <c r="IK168" s="214"/>
      <c r="IL168" s="214"/>
      <c r="IM168" s="214"/>
      <c r="IN168" s="214"/>
      <c r="IO168" s="214"/>
      <c r="IP168" s="214"/>
      <c r="IQ168" s="214"/>
      <c r="IR168" s="214"/>
      <c r="IS168" s="214"/>
      <c r="IT168" s="214"/>
      <c r="IU168" s="214"/>
      <c r="IV168" s="214"/>
      <c r="IW168" s="214"/>
      <c r="IX168" s="214"/>
      <c r="IY168" s="214"/>
      <c r="IZ168" s="214"/>
      <c r="JA168" s="214"/>
      <c r="JB168" s="214"/>
      <c r="JC168" s="214"/>
      <c r="JD168" s="214"/>
      <c r="JE168" s="214"/>
      <c r="JF168" s="214"/>
      <c r="JG168" s="214"/>
      <c r="JH168" s="214"/>
      <c r="JI168" s="214"/>
    </row>
    <row r="169" spans="1:269">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4"/>
      <c r="BK169" s="214"/>
      <c r="BL169" s="214"/>
      <c r="BM169" s="214"/>
      <c r="BN169" s="214"/>
      <c r="BO169" s="214"/>
      <c r="BP169" s="214"/>
      <c r="BQ169" s="214"/>
      <c r="BR169" s="214"/>
      <c r="BS169" s="214"/>
      <c r="BT169" s="214"/>
      <c r="BU169" s="214"/>
      <c r="BV169" s="214"/>
      <c r="BW169" s="214"/>
      <c r="BX169" s="214"/>
      <c r="BY169" s="214"/>
      <c r="BZ169" s="214"/>
      <c r="CA169" s="214"/>
      <c r="CB169" s="214"/>
      <c r="CC169" s="214"/>
      <c r="CD169" s="214"/>
      <c r="CE169" s="214"/>
      <c r="CF169" s="214"/>
      <c r="CG169" s="214"/>
      <c r="CH169" s="214"/>
      <c r="CI169" s="214"/>
      <c r="CJ169" s="214"/>
      <c r="CK169" s="214"/>
      <c r="CL169" s="214"/>
      <c r="CM169" s="214"/>
      <c r="CN169" s="214"/>
      <c r="CO169" s="214"/>
      <c r="CP169" s="214"/>
      <c r="CQ169" s="214"/>
      <c r="CR169" s="214"/>
      <c r="CS169" s="214"/>
      <c r="CT169" s="214"/>
      <c r="CU169" s="214"/>
      <c r="CV169" s="214"/>
      <c r="CW169" s="214"/>
      <c r="CX169" s="214"/>
      <c r="CY169" s="214"/>
      <c r="CZ169" s="214"/>
      <c r="DA169" s="214"/>
      <c r="DB169" s="214"/>
      <c r="DC169" s="214"/>
      <c r="DD169" s="214"/>
      <c r="DE169" s="214"/>
      <c r="DF169" s="214"/>
      <c r="DG169" s="214"/>
      <c r="DH169" s="214"/>
      <c r="DI169" s="214"/>
      <c r="DJ169" s="214"/>
      <c r="DK169" s="214"/>
      <c r="DL169" s="214"/>
      <c r="DM169" s="214"/>
      <c r="DN169" s="214"/>
      <c r="DO169" s="214"/>
      <c r="DP169" s="214"/>
      <c r="DQ169" s="214"/>
      <c r="DR169" s="214"/>
      <c r="DS169" s="214"/>
      <c r="DT169" s="214"/>
      <c r="DU169" s="214"/>
      <c r="DV169" s="214"/>
      <c r="DW169" s="214"/>
      <c r="DX169" s="214"/>
      <c r="DY169" s="214"/>
      <c r="DZ169" s="214"/>
      <c r="EA169" s="214"/>
      <c r="EB169" s="214"/>
      <c r="EC169" s="214"/>
      <c r="ED169" s="214"/>
      <c r="EE169" s="214"/>
      <c r="EF169" s="214"/>
      <c r="EG169" s="214"/>
      <c r="EH169" s="214"/>
      <c r="EI169" s="214"/>
      <c r="EJ169" s="214"/>
      <c r="EK169" s="214"/>
      <c r="EL169" s="214"/>
      <c r="EM169" s="214"/>
      <c r="EN169" s="214"/>
      <c r="EO169" s="214"/>
      <c r="EP169" s="214"/>
      <c r="EQ169" s="214"/>
      <c r="ER169" s="214"/>
      <c r="ES169" s="214"/>
      <c r="ET169" s="214"/>
      <c r="EU169" s="214"/>
      <c r="EV169" s="214"/>
      <c r="EW169" s="214"/>
      <c r="EX169" s="214"/>
      <c r="EY169" s="214"/>
      <c r="EZ169" s="214"/>
      <c r="FA169" s="214"/>
      <c r="FB169" s="214"/>
      <c r="FC169" s="214"/>
      <c r="FD169" s="214"/>
      <c r="FE169" s="214"/>
      <c r="FF169" s="214"/>
      <c r="FG169" s="214"/>
      <c r="FH169" s="214"/>
      <c r="FI169" s="214"/>
      <c r="FJ169" s="214"/>
      <c r="FK169" s="214"/>
      <c r="FL169" s="214"/>
      <c r="FM169" s="214"/>
      <c r="FN169" s="214"/>
      <c r="FO169" s="214"/>
      <c r="FP169" s="214"/>
      <c r="FQ169" s="214"/>
      <c r="FR169" s="214"/>
      <c r="FS169" s="214"/>
      <c r="FT169" s="214"/>
      <c r="FU169" s="214"/>
      <c r="FV169" s="214"/>
      <c r="FW169" s="214"/>
      <c r="FX169" s="214"/>
      <c r="FY169" s="214"/>
      <c r="FZ169" s="214"/>
      <c r="GA169" s="214"/>
      <c r="GB169" s="214"/>
      <c r="GC169" s="214"/>
      <c r="GD169" s="214"/>
      <c r="GE169" s="214"/>
      <c r="GF169" s="214"/>
      <c r="GG169" s="214"/>
      <c r="GH169" s="214"/>
      <c r="GI169" s="214"/>
      <c r="GJ169" s="214"/>
      <c r="GK169" s="214"/>
      <c r="GL169" s="214"/>
      <c r="GM169" s="214"/>
      <c r="GN169" s="214"/>
      <c r="GO169" s="214"/>
      <c r="GP169" s="214"/>
      <c r="GQ169" s="214"/>
      <c r="GR169" s="214"/>
      <c r="GS169" s="214"/>
      <c r="GT169" s="214"/>
      <c r="GU169" s="214"/>
      <c r="GV169" s="214"/>
      <c r="GW169" s="214"/>
      <c r="GX169" s="214"/>
      <c r="GY169" s="214"/>
      <c r="GZ169" s="214"/>
      <c r="HA169" s="214"/>
      <c r="HB169" s="214"/>
      <c r="HC169" s="214"/>
      <c r="HD169" s="214"/>
      <c r="HE169" s="214"/>
      <c r="HF169" s="214"/>
      <c r="HG169" s="214"/>
      <c r="HH169" s="214"/>
      <c r="HI169" s="214"/>
      <c r="HJ169" s="214"/>
      <c r="HK169" s="214"/>
      <c r="HL169" s="214"/>
      <c r="HM169" s="214"/>
      <c r="HN169" s="214"/>
      <c r="HO169" s="214"/>
      <c r="HP169" s="214"/>
      <c r="HQ169" s="214"/>
      <c r="HR169" s="214"/>
      <c r="HS169" s="214"/>
      <c r="HT169" s="214"/>
      <c r="HU169" s="214"/>
      <c r="HV169" s="214"/>
      <c r="HW169" s="214"/>
      <c r="HX169" s="214"/>
      <c r="HY169" s="214"/>
      <c r="HZ169" s="214"/>
      <c r="IA169" s="214"/>
      <c r="IB169" s="214"/>
      <c r="IC169" s="214"/>
      <c r="ID169" s="214"/>
      <c r="IE169" s="214"/>
      <c r="IF169" s="214"/>
      <c r="IG169" s="214"/>
      <c r="IH169" s="214"/>
      <c r="II169" s="214"/>
      <c r="IJ169" s="214"/>
      <c r="IK169" s="214"/>
      <c r="IL169" s="214"/>
      <c r="IM169" s="214"/>
      <c r="IN169" s="214"/>
      <c r="IO169" s="214"/>
      <c r="IP169" s="214"/>
      <c r="IQ169" s="214"/>
      <c r="IR169" s="214"/>
      <c r="IS169" s="214"/>
      <c r="IT169" s="214"/>
      <c r="IU169" s="214"/>
      <c r="IV169" s="214"/>
      <c r="IW169" s="214"/>
      <c r="IX169" s="214"/>
      <c r="IY169" s="214"/>
      <c r="IZ169" s="214"/>
      <c r="JA169" s="214"/>
      <c r="JB169" s="214"/>
      <c r="JC169" s="214"/>
      <c r="JD169" s="214"/>
      <c r="JE169" s="214"/>
      <c r="JF169" s="214"/>
      <c r="JG169" s="214"/>
      <c r="JH169" s="214"/>
      <c r="JI169" s="214"/>
    </row>
    <row r="170" spans="1:269">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214"/>
      <c r="BY170" s="214"/>
      <c r="BZ170" s="214"/>
      <c r="CA170" s="214"/>
      <c r="CB170" s="214"/>
      <c r="CC170" s="214"/>
      <c r="CD170" s="214"/>
      <c r="CE170" s="214"/>
      <c r="CF170" s="214"/>
      <c r="CG170" s="214"/>
      <c r="CH170" s="214"/>
      <c r="CI170" s="214"/>
      <c r="CJ170" s="214"/>
      <c r="CK170" s="214"/>
      <c r="CL170" s="214"/>
      <c r="CM170" s="214"/>
      <c r="CN170" s="214"/>
      <c r="CO170" s="214"/>
      <c r="CP170" s="214"/>
      <c r="CQ170" s="214"/>
      <c r="CR170" s="214"/>
      <c r="CS170" s="214"/>
      <c r="CT170" s="214"/>
      <c r="CU170" s="214"/>
      <c r="CV170" s="214"/>
      <c r="CW170" s="214"/>
      <c r="CX170" s="214"/>
      <c r="CY170" s="214"/>
      <c r="CZ170" s="214"/>
      <c r="DA170" s="214"/>
      <c r="DB170" s="214"/>
      <c r="DC170" s="214"/>
      <c r="DD170" s="214"/>
      <c r="DE170" s="214"/>
      <c r="DF170" s="214"/>
      <c r="DG170" s="214"/>
      <c r="DH170" s="214"/>
      <c r="DI170" s="214"/>
      <c r="DJ170" s="214"/>
      <c r="DK170" s="214"/>
      <c r="DL170" s="214"/>
      <c r="DM170" s="214"/>
      <c r="DN170" s="214"/>
      <c r="DO170" s="214"/>
      <c r="DP170" s="214"/>
      <c r="DQ170" s="214"/>
      <c r="DR170" s="214"/>
      <c r="DS170" s="214"/>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4"/>
      <c r="ES170" s="214"/>
      <c r="ET170" s="214"/>
      <c r="EU170" s="214"/>
      <c r="EV170" s="214"/>
      <c r="EW170" s="214"/>
      <c r="EX170" s="214"/>
      <c r="EY170" s="214"/>
      <c r="EZ170" s="214"/>
      <c r="FA170" s="214"/>
      <c r="FB170" s="214"/>
      <c r="FC170" s="214"/>
      <c r="FD170" s="214"/>
      <c r="FE170" s="214"/>
      <c r="FF170" s="214"/>
      <c r="FG170" s="214"/>
      <c r="FH170" s="214"/>
      <c r="FI170" s="214"/>
      <c r="FJ170" s="214"/>
      <c r="FK170" s="214"/>
      <c r="FL170" s="214"/>
      <c r="FM170" s="214"/>
      <c r="FN170" s="214"/>
      <c r="FO170" s="214"/>
      <c r="FP170" s="214"/>
      <c r="FQ170" s="214"/>
      <c r="FR170" s="214"/>
      <c r="FS170" s="214"/>
      <c r="FT170" s="214"/>
      <c r="FU170" s="214"/>
      <c r="FV170" s="214"/>
      <c r="FW170" s="214"/>
      <c r="FX170" s="214"/>
      <c r="FY170" s="214"/>
      <c r="FZ170" s="214"/>
      <c r="GA170" s="214"/>
      <c r="GB170" s="214"/>
      <c r="GC170" s="214"/>
      <c r="GD170" s="214"/>
      <c r="GE170" s="214"/>
      <c r="GF170" s="214"/>
      <c r="GG170" s="214"/>
      <c r="GH170" s="214"/>
      <c r="GI170" s="214"/>
      <c r="GJ170" s="214"/>
      <c r="GK170" s="214"/>
      <c r="GL170" s="214"/>
      <c r="GM170" s="214"/>
      <c r="GN170" s="214"/>
      <c r="GO170" s="214"/>
      <c r="GP170" s="214"/>
      <c r="GQ170" s="214"/>
      <c r="GR170" s="214"/>
      <c r="GS170" s="214"/>
      <c r="GT170" s="214"/>
      <c r="GU170" s="214"/>
      <c r="GV170" s="214"/>
      <c r="GW170" s="214"/>
      <c r="GX170" s="214"/>
      <c r="GY170" s="214"/>
      <c r="GZ170" s="214"/>
      <c r="HA170" s="214"/>
      <c r="HB170" s="214"/>
      <c r="HC170" s="214"/>
      <c r="HD170" s="214"/>
      <c r="HE170" s="214"/>
      <c r="HF170" s="214"/>
      <c r="HG170" s="214"/>
      <c r="HH170" s="214"/>
      <c r="HI170" s="214"/>
      <c r="HJ170" s="214"/>
      <c r="HK170" s="214"/>
      <c r="HL170" s="214"/>
      <c r="HM170" s="214"/>
      <c r="HN170" s="214"/>
      <c r="HO170" s="214"/>
      <c r="HP170" s="214"/>
      <c r="HQ170" s="214"/>
      <c r="HR170" s="214"/>
      <c r="HS170" s="214"/>
      <c r="HT170" s="214"/>
      <c r="HU170" s="214"/>
      <c r="HV170" s="214"/>
      <c r="HW170" s="214"/>
      <c r="HX170" s="214"/>
      <c r="HY170" s="214"/>
      <c r="HZ170" s="214"/>
      <c r="IA170" s="214"/>
      <c r="IB170" s="214"/>
      <c r="IC170" s="214"/>
      <c r="ID170" s="214"/>
      <c r="IE170" s="214"/>
      <c r="IF170" s="214"/>
      <c r="IG170" s="214"/>
      <c r="IH170" s="214"/>
      <c r="II170" s="214"/>
      <c r="IJ170" s="214"/>
      <c r="IK170" s="214"/>
      <c r="IL170" s="214"/>
      <c r="IM170" s="214"/>
      <c r="IN170" s="214"/>
      <c r="IO170" s="214"/>
      <c r="IP170" s="214"/>
      <c r="IQ170" s="214"/>
      <c r="IR170" s="214"/>
      <c r="IS170" s="214"/>
      <c r="IT170" s="214"/>
      <c r="IU170" s="214"/>
      <c r="IV170" s="214"/>
      <c r="IW170" s="214"/>
      <c r="IX170" s="214"/>
      <c r="IY170" s="214"/>
      <c r="IZ170" s="214"/>
      <c r="JA170" s="214"/>
      <c r="JB170" s="214"/>
      <c r="JC170" s="214"/>
      <c r="JD170" s="214"/>
      <c r="JE170" s="214"/>
      <c r="JF170" s="214"/>
      <c r="JG170" s="214"/>
      <c r="JH170" s="214"/>
      <c r="JI170" s="214"/>
    </row>
    <row r="171" spans="1:269">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4"/>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c r="FW171" s="214"/>
      <c r="FX171" s="214"/>
      <c r="FY171" s="214"/>
      <c r="FZ171" s="214"/>
      <c r="GA171" s="214"/>
      <c r="GB171" s="214"/>
      <c r="GC171" s="214"/>
      <c r="GD171" s="214"/>
      <c r="GE171" s="214"/>
      <c r="GF171" s="214"/>
      <c r="GG171" s="214"/>
      <c r="GH171" s="214"/>
      <c r="GI171" s="214"/>
      <c r="GJ171" s="214"/>
      <c r="GK171" s="214"/>
      <c r="GL171" s="214"/>
      <c r="GM171" s="214"/>
      <c r="GN171" s="214"/>
      <c r="GO171" s="214"/>
      <c r="GP171" s="214"/>
      <c r="GQ171" s="214"/>
      <c r="GR171" s="214"/>
      <c r="GS171" s="214"/>
      <c r="GT171" s="214"/>
      <c r="GU171" s="214"/>
      <c r="GV171" s="214"/>
      <c r="GW171" s="214"/>
      <c r="GX171" s="214"/>
      <c r="GY171" s="214"/>
      <c r="GZ171" s="214"/>
      <c r="HA171" s="214"/>
      <c r="HB171" s="214"/>
      <c r="HC171" s="214"/>
      <c r="HD171" s="214"/>
      <c r="HE171" s="214"/>
      <c r="HF171" s="214"/>
      <c r="HG171" s="214"/>
      <c r="HH171" s="214"/>
      <c r="HI171" s="214"/>
      <c r="HJ171" s="214"/>
      <c r="HK171" s="214"/>
      <c r="HL171" s="214"/>
      <c r="HM171" s="214"/>
      <c r="HN171" s="214"/>
      <c r="HO171" s="214"/>
      <c r="HP171" s="214"/>
      <c r="HQ171" s="214"/>
      <c r="HR171" s="214"/>
      <c r="HS171" s="214"/>
      <c r="HT171" s="214"/>
      <c r="HU171" s="214"/>
      <c r="HV171" s="214"/>
      <c r="HW171" s="214"/>
      <c r="HX171" s="214"/>
      <c r="HY171" s="214"/>
      <c r="HZ171" s="214"/>
      <c r="IA171" s="214"/>
      <c r="IB171" s="214"/>
      <c r="IC171" s="214"/>
      <c r="ID171" s="214"/>
      <c r="IE171" s="214"/>
      <c r="IF171" s="214"/>
      <c r="IG171" s="214"/>
      <c r="IH171" s="214"/>
      <c r="II171" s="214"/>
      <c r="IJ171" s="214"/>
      <c r="IK171" s="214"/>
      <c r="IL171" s="214"/>
      <c r="IM171" s="214"/>
      <c r="IN171" s="214"/>
      <c r="IO171" s="214"/>
      <c r="IP171" s="214"/>
      <c r="IQ171" s="214"/>
      <c r="IR171" s="214"/>
      <c r="IS171" s="214"/>
      <c r="IT171" s="214"/>
      <c r="IU171" s="214"/>
      <c r="IV171" s="214"/>
      <c r="IW171" s="214"/>
      <c r="IX171" s="214"/>
      <c r="IY171" s="214"/>
      <c r="IZ171" s="214"/>
      <c r="JA171" s="214"/>
      <c r="JB171" s="214"/>
      <c r="JC171" s="214"/>
      <c r="JD171" s="214"/>
      <c r="JE171" s="214"/>
      <c r="JF171" s="214"/>
      <c r="JG171" s="214"/>
      <c r="JH171" s="214"/>
      <c r="JI171" s="214"/>
    </row>
    <row r="172" spans="1:269">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14"/>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14"/>
      <c r="EA172" s="214"/>
      <c r="EB172" s="214"/>
      <c r="EC172" s="214"/>
      <c r="ED172" s="214"/>
      <c r="EE172" s="214"/>
      <c r="EF172" s="214"/>
      <c r="EG172" s="214"/>
      <c r="EH172" s="214"/>
      <c r="EI172" s="214"/>
      <c r="EJ172" s="214"/>
      <c r="EK172" s="214"/>
      <c r="EL172" s="214"/>
      <c r="EM172" s="214"/>
      <c r="EN172" s="214"/>
      <c r="EO172" s="214"/>
      <c r="EP172" s="214"/>
      <c r="EQ172" s="214"/>
      <c r="ER172" s="214"/>
      <c r="ES172" s="214"/>
      <c r="ET172" s="214"/>
      <c r="EU172" s="214"/>
      <c r="EV172" s="214"/>
      <c r="EW172" s="214"/>
      <c r="EX172" s="214"/>
      <c r="EY172" s="214"/>
      <c r="EZ172" s="214"/>
      <c r="FA172" s="214"/>
      <c r="FB172" s="214"/>
      <c r="FC172" s="214"/>
      <c r="FD172" s="214"/>
      <c r="FE172" s="214"/>
      <c r="FF172" s="214"/>
      <c r="FG172" s="214"/>
      <c r="FH172" s="214"/>
      <c r="FI172" s="214"/>
      <c r="FJ172" s="214"/>
      <c r="FK172" s="214"/>
      <c r="FL172" s="214"/>
      <c r="FM172" s="214"/>
      <c r="FN172" s="214"/>
      <c r="FO172" s="214"/>
      <c r="FP172" s="214"/>
      <c r="FQ172" s="214"/>
      <c r="FR172" s="214"/>
      <c r="FS172" s="214"/>
      <c r="FT172" s="214"/>
      <c r="FU172" s="214"/>
      <c r="FV172" s="214"/>
      <c r="FW172" s="214"/>
      <c r="FX172" s="214"/>
      <c r="FY172" s="214"/>
      <c r="FZ172" s="214"/>
      <c r="GA172" s="214"/>
      <c r="GB172" s="214"/>
      <c r="GC172" s="214"/>
      <c r="GD172" s="214"/>
      <c r="GE172" s="214"/>
      <c r="GF172" s="214"/>
      <c r="GG172" s="214"/>
      <c r="GH172" s="214"/>
      <c r="GI172" s="214"/>
      <c r="GJ172" s="214"/>
      <c r="GK172" s="214"/>
      <c r="GL172" s="214"/>
      <c r="GM172" s="214"/>
      <c r="GN172" s="214"/>
      <c r="GO172" s="214"/>
      <c r="GP172" s="214"/>
      <c r="GQ172" s="214"/>
      <c r="GR172" s="214"/>
      <c r="GS172" s="214"/>
      <c r="GT172" s="214"/>
      <c r="GU172" s="214"/>
      <c r="GV172" s="214"/>
      <c r="GW172" s="214"/>
      <c r="GX172" s="214"/>
      <c r="GY172" s="214"/>
      <c r="GZ172" s="214"/>
      <c r="HA172" s="214"/>
      <c r="HB172" s="214"/>
      <c r="HC172" s="214"/>
      <c r="HD172" s="214"/>
      <c r="HE172" s="214"/>
      <c r="HF172" s="214"/>
      <c r="HG172" s="214"/>
      <c r="HH172" s="214"/>
      <c r="HI172" s="214"/>
      <c r="HJ172" s="214"/>
      <c r="HK172" s="214"/>
      <c r="HL172" s="214"/>
      <c r="HM172" s="214"/>
      <c r="HN172" s="214"/>
      <c r="HO172" s="214"/>
      <c r="HP172" s="214"/>
      <c r="HQ172" s="214"/>
      <c r="HR172" s="214"/>
      <c r="HS172" s="214"/>
      <c r="HT172" s="214"/>
      <c r="HU172" s="214"/>
      <c r="HV172" s="214"/>
      <c r="HW172" s="214"/>
      <c r="HX172" s="214"/>
      <c r="HY172" s="214"/>
      <c r="HZ172" s="214"/>
      <c r="IA172" s="214"/>
      <c r="IB172" s="214"/>
      <c r="IC172" s="214"/>
      <c r="ID172" s="214"/>
      <c r="IE172" s="214"/>
      <c r="IF172" s="214"/>
      <c r="IG172" s="214"/>
      <c r="IH172" s="214"/>
      <c r="II172" s="214"/>
      <c r="IJ172" s="214"/>
      <c r="IK172" s="214"/>
      <c r="IL172" s="214"/>
      <c r="IM172" s="214"/>
      <c r="IN172" s="214"/>
      <c r="IO172" s="214"/>
      <c r="IP172" s="214"/>
      <c r="IQ172" s="214"/>
      <c r="IR172" s="214"/>
      <c r="IS172" s="214"/>
      <c r="IT172" s="214"/>
      <c r="IU172" s="214"/>
      <c r="IV172" s="214"/>
      <c r="IW172" s="214"/>
      <c r="IX172" s="214"/>
      <c r="IY172" s="214"/>
      <c r="IZ172" s="214"/>
      <c r="JA172" s="214"/>
      <c r="JB172" s="214"/>
      <c r="JC172" s="214"/>
      <c r="JD172" s="214"/>
      <c r="JE172" s="214"/>
      <c r="JF172" s="214"/>
      <c r="JG172" s="214"/>
      <c r="JH172" s="214"/>
      <c r="JI172" s="214"/>
    </row>
    <row r="173" spans="1:269">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214"/>
      <c r="CC173" s="214"/>
      <c r="CD173" s="214"/>
      <c r="CE173" s="214"/>
      <c r="CF173" s="214"/>
      <c r="CG173" s="214"/>
      <c r="CH173" s="214"/>
      <c r="CI173" s="214"/>
      <c r="CJ173" s="214"/>
      <c r="CK173" s="214"/>
      <c r="CL173" s="214"/>
      <c r="CM173" s="214"/>
      <c r="CN173" s="214"/>
      <c r="CO173" s="214"/>
      <c r="CP173" s="214"/>
      <c r="CQ173" s="214"/>
      <c r="CR173" s="214"/>
      <c r="CS173" s="214"/>
      <c r="CT173" s="214"/>
      <c r="CU173" s="214"/>
      <c r="CV173" s="214"/>
      <c r="CW173" s="214"/>
      <c r="CX173" s="214"/>
      <c r="CY173" s="214"/>
      <c r="CZ173" s="214"/>
      <c r="DA173" s="214"/>
      <c r="DB173" s="214"/>
      <c r="DC173" s="214"/>
      <c r="DD173" s="214"/>
      <c r="DE173" s="214"/>
      <c r="DF173" s="214"/>
      <c r="DG173" s="214"/>
      <c r="DH173" s="214"/>
      <c r="DI173" s="214"/>
      <c r="DJ173" s="214"/>
      <c r="DK173" s="214"/>
      <c r="DL173" s="214"/>
      <c r="DM173" s="214"/>
      <c r="DN173" s="214"/>
      <c r="DO173" s="214"/>
      <c r="DP173" s="214"/>
      <c r="DQ173" s="214"/>
      <c r="DR173" s="214"/>
      <c r="DS173" s="214"/>
      <c r="DT173" s="214"/>
      <c r="DU173" s="214"/>
      <c r="DV173" s="214"/>
      <c r="DW173" s="214"/>
      <c r="DX173" s="214"/>
      <c r="DY173" s="214"/>
      <c r="DZ173" s="214"/>
      <c r="EA173" s="214"/>
      <c r="EB173" s="214"/>
      <c r="EC173" s="214"/>
      <c r="ED173" s="214"/>
      <c r="EE173" s="214"/>
      <c r="EF173" s="214"/>
      <c r="EG173" s="214"/>
      <c r="EH173" s="214"/>
      <c r="EI173" s="214"/>
      <c r="EJ173" s="214"/>
      <c r="EK173" s="214"/>
      <c r="EL173" s="214"/>
      <c r="EM173" s="214"/>
      <c r="EN173" s="214"/>
      <c r="EO173" s="214"/>
      <c r="EP173" s="214"/>
      <c r="EQ173" s="214"/>
      <c r="ER173" s="214"/>
      <c r="ES173" s="214"/>
      <c r="ET173" s="214"/>
      <c r="EU173" s="214"/>
      <c r="EV173" s="214"/>
      <c r="EW173" s="214"/>
      <c r="EX173" s="214"/>
      <c r="EY173" s="214"/>
      <c r="EZ173" s="214"/>
      <c r="FA173" s="214"/>
      <c r="FB173" s="214"/>
      <c r="FC173" s="214"/>
      <c r="FD173" s="214"/>
      <c r="FE173" s="214"/>
      <c r="FF173" s="214"/>
      <c r="FG173" s="214"/>
      <c r="FH173" s="214"/>
      <c r="FI173" s="214"/>
      <c r="FJ173" s="214"/>
      <c r="FK173" s="214"/>
      <c r="FL173" s="214"/>
      <c r="FM173" s="214"/>
      <c r="FN173" s="214"/>
      <c r="FO173" s="214"/>
      <c r="FP173" s="214"/>
      <c r="FQ173" s="214"/>
      <c r="FR173" s="214"/>
      <c r="FS173" s="214"/>
      <c r="FT173" s="214"/>
      <c r="FU173" s="214"/>
      <c r="FV173" s="214"/>
      <c r="FW173" s="214"/>
      <c r="FX173" s="214"/>
      <c r="FY173" s="214"/>
      <c r="FZ173" s="214"/>
      <c r="GA173" s="214"/>
      <c r="GB173" s="214"/>
      <c r="GC173" s="214"/>
      <c r="GD173" s="214"/>
      <c r="GE173" s="214"/>
      <c r="GF173" s="214"/>
      <c r="GG173" s="214"/>
      <c r="GH173" s="214"/>
      <c r="GI173" s="214"/>
      <c r="GJ173" s="214"/>
      <c r="GK173" s="214"/>
      <c r="GL173" s="214"/>
      <c r="GM173" s="214"/>
      <c r="GN173" s="214"/>
      <c r="GO173" s="214"/>
      <c r="GP173" s="214"/>
      <c r="GQ173" s="214"/>
      <c r="GR173" s="214"/>
      <c r="GS173" s="214"/>
      <c r="GT173" s="214"/>
      <c r="GU173" s="214"/>
      <c r="GV173" s="214"/>
      <c r="GW173" s="214"/>
      <c r="GX173" s="214"/>
      <c r="GY173" s="214"/>
      <c r="GZ173" s="214"/>
      <c r="HA173" s="214"/>
      <c r="HB173" s="214"/>
      <c r="HC173" s="214"/>
      <c r="HD173" s="214"/>
      <c r="HE173" s="214"/>
      <c r="HF173" s="214"/>
      <c r="HG173" s="214"/>
      <c r="HH173" s="214"/>
      <c r="HI173" s="214"/>
      <c r="HJ173" s="214"/>
      <c r="HK173" s="214"/>
      <c r="HL173" s="214"/>
      <c r="HM173" s="214"/>
      <c r="HN173" s="214"/>
      <c r="HO173" s="214"/>
      <c r="HP173" s="214"/>
      <c r="HQ173" s="214"/>
      <c r="HR173" s="214"/>
      <c r="HS173" s="214"/>
      <c r="HT173" s="214"/>
      <c r="HU173" s="214"/>
      <c r="HV173" s="214"/>
      <c r="HW173" s="214"/>
      <c r="HX173" s="214"/>
      <c r="HY173" s="214"/>
      <c r="HZ173" s="214"/>
      <c r="IA173" s="214"/>
      <c r="IB173" s="214"/>
      <c r="IC173" s="214"/>
      <c r="ID173" s="214"/>
      <c r="IE173" s="214"/>
      <c r="IF173" s="214"/>
      <c r="IG173" s="214"/>
      <c r="IH173" s="214"/>
      <c r="II173" s="214"/>
      <c r="IJ173" s="214"/>
      <c r="IK173" s="214"/>
      <c r="IL173" s="214"/>
      <c r="IM173" s="214"/>
      <c r="IN173" s="214"/>
      <c r="IO173" s="214"/>
      <c r="IP173" s="214"/>
      <c r="IQ173" s="214"/>
      <c r="IR173" s="214"/>
      <c r="IS173" s="214"/>
      <c r="IT173" s="214"/>
      <c r="IU173" s="214"/>
      <c r="IV173" s="214"/>
      <c r="IW173" s="214"/>
      <c r="IX173" s="214"/>
      <c r="IY173" s="214"/>
      <c r="IZ173" s="214"/>
      <c r="JA173" s="214"/>
      <c r="JB173" s="214"/>
      <c r="JC173" s="214"/>
      <c r="JD173" s="214"/>
      <c r="JE173" s="214"/>
      <c r="JF173" s="214"/>
      <c r="JG173" s="214"/>
      <c r="JH173" s="214"/>
      <c r="JI173" s="214"/>
    </row>
    <row r="174" spans="1:269">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c r="CB174" s="214"/>
      <c r="CC174" s="214"/>
      <c r="CD174" s="214"/>
      <c r="CE174" s="214"/>
      <c r="CF174" s="214"/>
      <c r="CG174" s="214"/>
      <c r="CH174" s="214"/>
      <c r="CI174" s="214"/>
      <c r="CJ174" s="214"/>
      <c r="CK174" s="214"/>
      <c r="CL174" s="214"/>
      <c r="CM174" s="214"/>
      <c r="CN174" s="214"/>
      <c r="CO174" s="214"/>
      <c r="CP174" s="214"/>
      <c r="CQ174" s="214"/>
      <c r="CR174" s="214"/>
      <c r="CS174" s="214"/>
      <c r="CT174" s="214"/>
      <c r="CU174" s="214"/>
      <c r="CV174" s="214"/>
      <c r="CW174" s="214"/>
      <c r="CX174" s="214"/>
      <c r="CY174" s="214"/>
      <c r="CZ174" s="214"/>
      <c r="DA174" s="214"/>
      <c r="DB174" s="214"/>
      <c r="DC174" s="214"/>
      <c r="DD174" s="214"/>
      <c r="DE174" s="214"/>
      <c r="DF174" s="214"/>
      <c r="DG174" s="214"/>
      <c r="DH174" s="214"/>
      <c r="DI174" s="214"/>
      <c r="DJ174" s="214"/>
      <c r="DK174" s="214"/>
      <c r="DL174" s="214"/>
      <c r="DM174" s="214"/>
      <c r="DN174" s="214"/>
      <c r="DO174" s="214"/>
      <c r="DP174" s="214"/>
      <c r="DQ174" s="214"/>
      <c r="DR174" s="214"/>
      <c r="DS174" s="214"/>
      <c r="DT174" s="214"/>
      <c r="DU174" s="214"/>
      <c r="DV174" s="214"/>
      <c r="DW174" s="214"/>
      <c r="DX174" s="214"/>
      <c r="DY174" s="214"/>
      <c r="DZ174" s="214"/>
      <c r="EA174" s="214"/>
      <c r="EB174" s="214"/>
      <c r="EC174" s="214"/>
      <c r="ED174" s="214"/>
      <c r="EE174" s="214"/>
      <c r="EF174" s="214"/>
      <c r="EG174" s="214"/>
      <c r="EH174" s="214"/>
      <c r="EI174" s="214"/>
      <c r="EJ174" s="214"/>
      <c r="EK174" s="214"/>
      <c r="EL174" s="214"/>
      <c r="EM174" s="214"/>
      <c r="EN174" s="214"/>
      <c r="EO174" s="214"/>
      <c r="EP174" s="214"/>
      <c r="EQ174" s="214"/>
      <c r="ER174" s="214"/>
      <c r="ES174" s="214"/>
      <c r="ET174" s="214"/>
      <c r="EU174" s="214"/>
      <c r="EV174" s="214"/>
      <c r="EW174" s="214"/>
      <c r="EX174" s="214"/>
      <c r="EY174" s="214"/>
      <c r="EZ174" s="214"/>
      <c r="FA174" s="214"/>
      <c r="FB174" s="214"/>
      <c r="FC174" s="214"/>
      <c r="FD174" s="214"/>
      <c r="FE174" s="214"/>
      <c r="FF174" s="214"/>
      <c r="FG174" s="214"/>
      <c r="FH174" s="214"/>
      <c r="FI174" s="214"/>
      <c r="FJ174" s="214"/>
      <c r="FK174" s="214"/>
      <c r="FL174" s="214"/>
      <c r="FM174" s="214"/>
      <c r="FN174" s="214"/>
      <c r="FO174" s="214"/>
      <c r="FP174" s="214"/>
      <c r="FQ174" s="214"/>
      <c r="FR174" s="214"/>
      <c r="FS174" s="214"/>
      <c r="FT174" s="214"/>
      <c r="FU174" s="214"/>
      <c r="FV174" s="214"/>
      <c r="FW174" s="214"/>
      <c r="FX174" s="214"/>
      <c r="FY174" s="214"/>
      <c r="FZ174" s="214"/>
      <c r="GA174" s="214"/>
      <c r="GB174" s="214"/>
      <c r="GC174" s="214"/>
      <c r="GD174" s="214"/>
      <c r="GE174" s="214"/>
      <c r="GF174" s="214"/>
      <c r="GG174" s="214"/>
      <c r="GH174" s="214"/>
      <c r="GI174" s="214"/>
      <c r="GJ174" s="214"/>
      <c r="GK174" s="214"/>
      <c r="GL174" s="214"/>
      <c r="GM174" s="214"/>
      <c r="GN174" s="214"/>
      <c r="GO174" s="214"/>
      <c r="GP174" s="214"/>
      <c r="GQ174" s="214"/>
      <c r="GR174" s="214"/>
      <c r="GS174" s="214"/>
      <c r="GT174" s="214"/>
      <c r="GU174" s="214"/>
      <c r="GV174" s="214"/>
      <c r="GW174" s="214"/>
      <c r="GX174" s="214"/>
      <c r="GY174" s="214"/>
      <c r="GZ174" s="214"/>
      <c r="HA174" s="214"/>
      <c r="HB174" s="214"/>
      <c r="HC174" s="214"/>
      <c r="HD174" s="214"/>
      <c r="HE174" s="214"/>
      <c r="HF174" s="214"/>
      <c r="HG174" s="214"/>
      <c r="HH174" s="214"/>
      <c r="HI174" s="214"/>
      <c r="HJ174" s="214"/>
      <c r="HK174" s="214"/>
      <c r="HL174" s="214"/>
      <c r="HM174" s="214"/>
      <c r="HN174" s="214"/>
      <c r="HO174" s="214"/>
      <c r="HP174" s="214"/>
      <c r="HQ174" s="214"/>
      <c r="HR174" s="214"/>
      <c r="HS174" s="214"/>
      <c r="HT174" s="214"/>
      <c r="HU174" s="214"/>
      <c r="HV174" s="214"/>
      <c r="HW174" s="214"/>
      <c r="HX174" s="214"/>
      <c r="HY174" s="214"/>
      <c r="HZ174" s="214"/>
      <c r="IA174" s="214"/>
      <c r="IB174" s="214"/>
      <c r="IC174" s="214"/>
      <c r="ID174" s="214"/>
      <c r="IE174" s="214"/>
      <c r="IF174" s="214"/>
      <c r="IG174" s="214"/>
      <c r="IH174" s="214"/>
      <c r="II174" s="214"/>
      <c r="IJ174" s="214"/>
      <c r="IK174" s="214"/>
      <c r="IL174" s="214"/>
      <c r="IM174" s="214"/>
      <c r="IN174" s="214"/>
      <c r="IO174" s="214"/>
      <c r="IP174" s="214"/>
      <c r="IQ174" s="214"/>
      <c r="IR174" s="214"/>
      <c r="IS174" s="214"/>
      <c r="IT174" s="214"/>
      <c r="IU174" s="214"/>
      <c r="IV174" s="214"/>
      <c r="IW174" s="214"/>
      <c r="IX174" s="214"/>
      <c r="IY174" s="214"/>
      <c r="IZ174" s="214"/>
      <c r="JA174" s="214"/>
      <c r="JB174" s="214"/>
      <c r="JC174" s="214"/>
      <c r="JD174" s="214"/>
      <c r="JE174" s="214"/>
      <c r="JF174" s="214"/>
      <c r="JG174" s="214"/>
      <c r="JH174" s="214"/>
      <c r="JI174" s="214"/>
    </row>
    <row r="175" spans="1:269">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CW175" s="214"/>
      <c r="CX175" s="214"/>
      <c r="CY175" s="214"/>
      <c r="CZ175" s="214"/>
      <c r="DA175" s="214"/>
      <c r="DB175" s="214"/>
      <c r="DC175" s="214"/>
      <c r="DD175" s="214"/>
      <c r="DE175" s="214"/>
      <c r="DF175" s="214"/>
      <c r="DG175" s="214"/>
      <c r="DH175" s="214"/>
      <c r="DI175" s="214"/>
      <c r="DJ175" s="214"/>
      <c r="DK175" s="214"/>
      <c r="DL175" s="214"/>
      <c r="DM175" s="214"/>
      <c r="DN175" s="214"/>
      <c r="DO175" s="214"/>
      <c r="DP175" s="214"/>
      <c r="DQ175" s="214"/>
      <c r="DR175" s="214"/>
      <c r="DS175" s="214"/>
      <c r="DT175" s="214"/>
      <c r="DU175" s="214"/>
      <c r="DV175" s="214"/>
      <c r="DW175" s="214"/>
      <c r="DX175" s="214"/>
      <c r="DY175" s="214"/>
      <c r="DZ175" s="214"/>
      <c r="EA175" s="214"/>
      <c r="EB175" s="214"/>
      <c r="EC175" s="214"/>
      <c r="ED175" s="214"/>
      <c r="EE175" s="214"/>
      <c r="EF175" s="214"/>
      <c r="EG175" s="214"/>
      <c r="EH175" s="214"/>
      <c r="EI175" s="214"/>
      <c r="EJ175" s="214"/>
      <c r="EK175" s="214"/>
      <c r="EL175" s="214"/>
      <c r="EM175" s="214"/>
      <c r="EN175" s="214"/>
      <c r="EO175" s="214"/>
      <c r="EP175" s="214"/>
      <c r="EQ175" s="214"/>
      <c r="ER175" s="214"/>
      <c r="ES175" s="214"/>
      <c r="ET175" s="214"/>
      <c r="EU175" s="214"/>
      <c r="EV175" s="214"/>
      <c r="EW175" s="214"/>
      <c r="EX175" s="214"/>
      <c r="EY175" s="214"/>
      <c r="EZ175" s="214"/>
      <c r="FA175" s="214"/>
      <c r="FB175" s="214"/>
      <c r="FC175" s="214"/>
      <c r="FD175" s="214"/>
      <c r="FE175" s="214"/>
      <c r="FF175" s="214"/>
      <c r="FG175" s="214"/>
      <c r="FH175" s="214"/>
      <c r="FI175" s="214"/>
      <c r="FJ175" s="214"/>
      <c r="FK175" s="214"/>
      <c r="FL175" s="214"/>
      <c r="FM175" s="214"/>
      <c r="FN175" s="214"/>
      <c r="FO175" s="214"/>
      <c r="FP175" s="214"/>
      <c r="FQ175" s="214"/>
      <c r="FR175" s="214"/>
      <c r="FS175" s="214"/>
      <c r="FT175" s="214"/>
      <c r="FU175" s="214"/>
      <c r="FV175" s="214"/>
      <c r="FW175" s="214"/>
      <c r="FX175" s="214"/>
      <c r="FY175" s="214"/>
      <c r="FZ175" s="214"/>
      <c r="GA175" s="214"/>
      <c r="GB175" s="214"/>
      <c r="GC175" s="214"/>
      <c r="GD175" s="214"/>
      <c r="GE175" s="214"/>
      <c r="GF175" s="214"/>
      <c r="GG175" s="214"/>
      <c r="GH175" s="214"/>
      <c r="GI175" s="214"/>
      <c r="GJ175" s="214"/>
      <c r="GK175" s="214"/>
      <c r="GL175" s="214"/>
      <c r="GM175" s="214"/>
      <c r="GN175" s="214"/>
      <c r="GO175" s="214"/>
      <c r="GP175" s="214"/>
      <c r="GQ175" s="214"/>
      <c r="GR175" s="214"/>
      <c r="GS175" s="214"/>
      <c r="GT175" s="214"/>
      <c r="GU175" s="214"/>
      <c r="GV175" s="214"/>
      <c r="GW175" s="214"/>
      <c r="GX175" s="214"/>
      <c r="GY175" s="214"/>
      <c r="GZ175" s="214"/>
      <c r="HA175" s="214"/>
      <c r="HB175" s="214"/>
      <c r="HC175" s="214"/>
      <c r="HD175" s="214"/>
      <c r="HE175" s="214"/>
      <c r="HF175" s="214"/>
      <c r="HG175" s="214"/>
      <c r="HH175" s="214"/>
      <c r="HI175" s="214"/>
      <c r="HJ175" s="214"/>
      <c r="HK175" s="214"/>
      <c r="HL175" s="214"/>
      <c r="HM175" s="214"/>
      <c r="HN175" s="214"/>
      <c r="HO175" s="214"/>
      <c r="HP175" s="214"/>
      <c r="HQ175" s="214"/>
      <c r="HR175" s="214"/>
      <c r="HS175" s="214"/>
      <c r="HT175" s="214"/>
      <c r="HU175" s="214"/>
      <c r="HV175" s="214"/>
      <c r="HW175" s="214"/>
      <c r="HX175" s="214"/>
      <c r="HY175" s="214"/>
      <c r="HZ175" s="214"/>
      <c r="IA175" s="214"/>
      <c r="IB175" s="214"/>
      <c r="IC175" s="214"/>
      <c r="ID175" s="214"/>
      <c r="IE175" s="214"/>
      <c r="IF175" s="214"/>
      <c r="IG175" s="214"/>
      <c r="IH175" s="214"/>
      <c r="II175" s="214"/>
      <c r="IJ175" s="214"/>
      <c r="IK175" s="214"/>
      <c r="IL175" s="214"/>
      <c r="IM175" s="214"/>
      <c r="IN175" s="214"/>
      <c r="IO175" s="214"/>
      <c r="IP175" s="214"/>
      <c r="IQ175" s="214"/>
      <c r="IR175" s="214"/>
      <c r="IS175" s="214"/>
      <c r="IT175" s="214"/>
      <c r="IU175" s="214"/>
      <c r="IV175" s="214"/>
      <c r="IW175" s="214"/>
      <c r="IX175" s="214"/>
      <c r="IY175" s="214"/>
      <c r="IZ175" s="214"/>
      <c r="JA175" s="214"/>
      <c r="JB175" s="214"/>
      <c r="JC175" s="214"/>
      <c r="JD175" s="214"/>
      <c r="JE175" s="214"/>
      <c r="JF175" s="214"/>
      <c r="JG175" s="214"/>
      <c r="JH175" s="214"/>
      <c r="JI175" s="214"/>
    </row>
    <row r="176" spans="1:269">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214"/>
      <c r="BK176" s="214"/>
      <c r="BL176" s="214"/>
      <c r="BM176" s="214"/>
      <c r="BN176" s="214"/>
      <c r="BO176" s="214"/>
      <c r="BP176" s="214"/>
      <c r="BQ176" s="214"/>
      <c r="BR176" s="214"/>
      <c r="BS176" s="214"/>
      <c r="BT176" s="214"/>
      <c r="BU176" s="214"/>
      <c r="BV176" s="214"/>
      <c r="BW176" s="214"/>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214"/>
      <c r="EC176" s="214"/>
      <c r="ED176" s="214"/>
      <c r="EE176" s="214"/>
      <c r="EF176" s="214"/>
      <c r="EG176" s="214"/>
      <c r="EH176" s="214"/>
      <c r="EI176" s="214"/>
      <c r="EJ176" s="214"/>
      <c r="EK176" s="214"/>
      <c r="EL176" s="214"/>
      <c r="EM176" s="214"/>
      <c r="EN176" s="214"/>
      <c r="EO176" s="214"/>
      <c r="EP176" s="214"/>
      <c r="EQ176" s="214"/>
      <c r="ER176" s="214"/>
      <c r="ES176" s="214"/>
      <c r="ET176" s="214"/>
      <c r="EU176" s="214"/>
      <c r="EV176" s="214"/>
      <c r="EW176" s="214"/>
      <c r="EX176" s="214"/>
      <c r="EY176" s="214"/>
      <c r="EZ176" s="214"/>
      <c r="FA176" s="214"/>
      <c r="FB176" s="214"/>
      <c r="FC176" s="214"/>
      <c r="FD176" s="214"/>
      <c r="FE176" s="214"/>
      <c r="FF176" s="214"/>
      <c r="FG176" s="214"/>
      <c r="FH176" s="214"/>
      <c r="FI176" s="214"/>
      <c r="FJ176" s="214"/>
      <c r="FK176" s="214"/>
      <c r="FL176" s="214"/>
      <c r="FM176" s="214"/>
      <c r="FN176" s="214"/>
      <c r="FO176" s="214"/>
      <c r="FP176" s="214"/>
      <c r="FQ176" s="214"/>
      <c r="FR176" s="214"/>
      <c r="FS176" s="214"/>
      <c r="FT176" s="214"/>
      <c r="FU176" s="214"/>
      <c r="FV176" s="214"/>
      <c r="FW176" s="214"/>
      <c r="FX176" s="214"/>
      <c r="FY176" s="214"/>
      <c r="FZ176" s="214"/>
      <c r="GA176" s="214"/>
      <c r="GB176" s="214"/>
      <c r="GC176" s="214"/>
      <c r="GD176" s="214"/>
      <c r="GE176" s="214"/>
      <c r="GF176" s="214"/>
      <c r="GG176" s="214"/>
      <c r="GH176" s="214"/>
      <c r="GI176" s="214"/>
      <c r="GJ176" s="214"/>
      <c r="GK176" s="214"/>
      <c r="GL176" s="214"/>
      <c r="GM176" s="214"/>
      <c r="GN176" s="214"/>
      <c r="GO176" s="214"/>
      <c r="GP176" s="214"/>
      <c r="GQ176" s="214"/>
      <c r="GR176" s="214"/>
      <c r="GS176" s="214"/>
      <c r="GT176" s="214"/>
      <c r="GU176" s="214"/>
      <c r="GV176" s="214"/>
      <c r="GW176" s="214"/>
      <c r="GX176" s="214"/>
      <c r="GY176" s="214"/>
      <c r="GZ176" s="214"/>
      <c r="HA176" s="214"/>
      <c r="HB176" s="214"/>
      <c r="HC176" s="214"/>
      <c r="HD176" s="214"/>
      <c r="HE176" s="214"/>
      <c r="HF176" s="214"/>
      <c r="HG176" s="214"/>
      <c r="HH176" s="214"/>
      <c r="HI176" s="214"/>
      <c r="HJ176" s="214"/>
      <c r="HK176" s="214"/>
      <c r="HL176" s="214"/>
      <c r="HM176" s="214"/>
      <c r="HN176" s="214"/>
      <c r="HO176" s="214"/>
      <c r="HP176" s="214"/>
      <c r="HQ176" s="214"/>
      <c r="HR176" s="214"/>
      <c r="HS176" s="214"/>
      <c r="HT176" s="214"/>
      <c r="HU176" s="214"/>
      <c r="HV176" s="214"/>
      <c r="HW176" s="214"/>
      <c r="HX176" s="214"/>
      <c r="HY176" s="214"/>
      <c r="HZ176" s="214"/>
      <c r="IA176" s="214"/>
      <c r="IB176" s="214"/>
      <c r="IC176" s="214"/>
      <c r="ID176" s="214"/>
      <c r="IE176" s="214"/>
      <c r="IF176" s="214"/>
      <c r="IG176" s="214"/>
      <c r="IH176" s="214"/>
      <c r="II176" s="214"/>
      <c r="IJ176" s="214"/>
      <c r="IK176" s="214"/>
      <c r="IL176" s="214"/>
      <c r="IM176" s="214"/>
      <c r="IN176" s="214"/>
      <c r="IO176" s="214"/>
      <c r="IP176" s="214"/>
      <c r="IQ176" s="214"/>
      <c r="IR176" s="214"/>
      <c r="IS176" s="214"/>
      <c r="IT176" s="214"/>
      <c r="IU176" s="214"/>
      <c r="IV176" s="214"/>
      <c r="IW176" s="214"/>
      <c r="IX176" s="214"/>
      <c r="IY176" s="214"/>
      <c r="IZ176" s="214"/>
      <c r="JA176" s="214"/>
      <c r="JB176" s="214"/>
      <c r="JC176" s="214"/>
      <c r="JD176" s="214"/>
      <c r="JE176" s="214"/>
      <c r="JF176" s="214"/>
      <c r="JG176" s="214"/>
      <c r="JH176" s="214"/>
      <c r="JI176" s="214"/>
    </row>
    <row r="177" spans="1:269">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14"/>
      <c r="EA177" s="214"/>
      <c r="EB177" s="214"/>
      <c r="EC177" s="214"/>
      <c r="ED177" s="214"/>
      <c r="EE177" s="214"/>
      <c r="EF177" s="214"/>
      <c r="EG177" s="214"/>
      <c r="EH177" s="214"/>
      <c r="EI177" s="214"/>
      <c r="EJ177" s="214"/>
      <c r="EK177" s="214"/>
      <c r="EL177" s="214"/>
      <c r="EM177" s="214"/>
      <c r="EN177" s="214"/>
      <c r="EO177" s="214"/>
      <c r="EP177" s="214"/>
      <c r="EQ177" s="214"/>
      <c r="ER177" s="214"/>
      <c r="ES177" s="214"/>
      <c r="ET177" s="214"/>
      <c r="EU177" s="214"/>
      <c r="EV177" s="214"/>
      <c r="EW177" s="214"/>
      <c r="EX177" s="214"/>
      <c r="EY177" s="214"/>
      <c r="EZ177" s="214"/>
      <c r="FA177" s="214"/>
      <c r="FB177" s="214"/>
      <c r="FC177" s="214"/>
      <c r="FD177" s="214"/>
      <c r="FE177" s="214"/>
      <c r="FF177" s="214"/>
      <c r="FG177" s="214"/>
      <c r="FH177" s="214"/>
      <c r="FI177" s="214"/>
      <c r="FJ177" s="214"/>
      <c r="FK177" s="214"/>
      <c r="FL177" s="214"/>
      <c r="FM177" s="214"/>
      <c r="FN177" s="214"/>
      <c r="FO177" s="214"/>
      <c r="FP177" s="214"/>
      <c r="FQ177" s="214"/>
      <c r="FR177" s="214"/>
      <c r="FS177" s="214"/>
      <c r="FT177" s="214"/>
      <c r="FU177" s="214"/>
      <c r="FV177" s="214"/>
      <c r="FW177" s="214"/>
      <c r="FX177" s="214"/>
      <c r="FY177" s="214"/>
      <c r="FZ177" s="214"/>
      <c r="GA177" s="214"/>
      <c r="GB177" s="214"/>
      <c r="GC177" s="214"/>
      <c r="GD177" s="214"/>
      <c r="GE177" s="214"/>
      <c r="GF177" s="214"/>
      <c r="GG177" s="214"/>
      <c r="GH177" s="214"/>
      <c r="GI177" s="214"/>
      <c r="GJ177" s="214"/>
      <c r="GK177" s="214"/>
      <c r="GL177" s="214"/>
      <c r="GM177" s="214"/>
      <c r="GN177" s="214"/>
      <c r="GO177" s="214"/>
      <c r="GP177" s="214"/>
      <c r="GQ177" s="214"/>
      <c r="GR177" s="214"/>
      <c r="GS177" s="214"/>
      <c r="GT177" s="214"/>
      <c r="GU177" s="214"/>
      <c r="GV177" s="214"/>
      <c r="GW177" s="214"/>
      <c r="GX177" s="214"/>
      <c r="GY177" s="214"/>
      <c r="GZ177" s="214"/>
      <c r="HA177" s="214"/>
      <c r="HB177" s="214"/>
      <c r="HC177" s="214"/>
      <c r="HD177" s="214"/>
      <c r="HE177" s="214"/>
      <c r="HF177" s="214"/>
      <c r="HG177" s="214"/>
      <c r="HH177" s="214"/>
      <c r="HI177" s="214"/>
      <c r="HJ177" s="214"/>
      <c r="HK177" s="214"/>
      <c r="HL177" s="214"/>
      <c r="HM177" s="214"/>
      <c r="HN177" s="214"/>
      <c r="HO177" s="214"/>
      <c r="HP177" s="214"/>
      <c r="HQ177" s="214"/>
      <c r="HR177" s="214"/>
      <c r="HS177" s="214"/>
      <c r="HT177" s="214"/>
      <c r="HU177" s="214"/>
      <c r="HV177" s="214"/>
      <c r="HW177" s="214"/>
      <c r="HX177" s="214"/>
      <c r="HY177" s="214"/>
      <c r="HZ177" s="214"/>
      <c r="IA177" s="214"/>
      <c r="IB177" s="214"/>
      <c r="IC177" s="214"/>
      <c r="ID177" s="214"/>
      <c r="IE177" s="214"/>
      <c r="IF177" s="214"/>
      <c r="IG177" s="214"/>
      <c r="IH177" s="214"/>
      <c r="II177" s="214"/>
      <c r="IJ177" s="214"/>
      <c r="IK177" s="214"/>
      <c r="IL177" s="214"/>
      <c r="IM177" s="214"/>
      <c r="IN177" s="214"/>
      <c r="IO177" s="214"/>
      <c r="IP177" s="214"/>
      <c r="IQ177" s="214"/>
      <c r="IR177" s="214"/>
      <c r="IS177" s="214"/>
      <c r="IT177" s="214"/>
      <c r="IU177" s="214"/>
      <c r="IV177" s="214"/>
      <c r="IW177" s="214"/>
      <c r="IX177" s="214"/>
      <c r="IY177" s="214"/>
      <c r="IZ177" s="214"/>
      <c r="JA177" s="214"/>
      <c r="JB177" s="214"/>
      <c r="JC177" s="214"/>
      <c r="JD177" s="214"/>
      <c r="JE177" s="214"/>
      <c r="JF177" s="214"/>
      <c r="JG177" s="214"/>
      <c r="JH177" s="214"/>
      <c r="JI177" s="214"/>
    </row>
    <row r="178" spans="1:269">
      <c r="A178" s="214"/>
      <c r="B178" s="214"/>
      <c r="C178" s="214"/>
      <c r="D178" s="214"/>
      <c r="E178" s="214"/>
      <c r="F178" s="214"/>
      <c r="G178" s="214"/>
      <c r="H178" s="214"/>
      <c r="I178" s="214"/>
      <c r="J178" s="214"/>
      <c r="K178" s="214"/>
      <c r="L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14"/>
      <c r="EA178" s="214"/>
      <c r="EB178" s="214"/>
      <c r="EC178" s="214"/>
      <c r="ED178" s="214"/>
      <c r="EE178" s="214"/>
      <c r="EF178" s="214"/>
      <c r="EG178" s="214"/>
      <c r="EH178" s="214"/>
      <c r="EI178" s="214"/>
      <c r="EJ178" s="214"/>
      <c r="EK178" s="214"/>
      <c r="EL178" s="214"/>
      <c r="EM178" s="214"/>
      <c r="EN178" s="214"/>
      <c r="EO178" s="214"/>
      <c r="EP178" s="214"/>
      <c r="EQ178" s="214"/>
      <c r="ER178" s="214"/>
      <c r="ES178" s="214"/>
      <c r="ET178" s="214"/>
      <c r="EU178" s="214"/>
      <c r="EV178" s="214"/>
      <c r="EW178" s="214"/>
      <c r="EX178" s="214"/>
      <c r="EY178" s="214"/>
      <c r="EZ178" s="214"/>
      <c r="FA178" s="214"/>
      <c r="FB178" s="214"/>
      <c r="FC178" s="214"/>
      <c r="FD178" s="214"/>
      <c r="FE178" s="214"/>
      <c r="FF178" s="214"/>
      <c r="FG178" s="214"/>
      <c r="FH178" s="214"/>
      <c r="FI178" s="214"/>
      <c r="FJ178" s="214"/>
      <c r="FK178" s="214"/>
      <c r="FL178" s="214"/>
      <c r="FM178" s="214"/>
      <c r="FN178" s="214"/>
      <c r="FO178" s="214"/>
      <c r="FP178" s="214"/>
      <c r="FQ178" s="214"/>
      <c r="FR178" s="214"/>
      <c r="FS178" s="214"/>
      <c r="FT178" s="214"/>
      <c r="FU178" s="214"/>
      <c r="FV178" s="214"/>
      <c r="FW178" s="214"/>
      <c r="FX178" s="214"/>
      <c r="FY178" s="214"/>
      <c r="FZ178" s="214"/>
      <c r="GA178" s="214"/>
      <c r="GB178" s="214"/>
      <c r="GC178" s="214"/>
      <c r="GD178" s="214"/>
      <c r="GE178" s="214"/>
      <c r="GF178" s="214"/>
      <c r="GG178" s="214"/>
      <c r="GH178" s="214"/>
      <c r="GI178" s="214"/>
      <c r="GJ178" s="214"/>
      <c r="GK178" s="214"/>
      <c r="GL178" s="214"/>
      <c r="GM178" s="214"/>
      <c r="GN178" s="214"/>
      <c r="GO178" s="214"/>
      <c r="GP178" s="214"/>
      <c r="GQ178" s="214"/>
      <c r="GR178" s="214"/>
      <c r="GS178" s="214"/>
      <c r="GT178" s="214"/>
      <c r="GU178" s="214"/>
      <c r="GV178" s="214"/>
      <c r="GW178" s="214"/>
      <c r="GX178" s="214"/>
      <c r="GY178" s="214"/>
      <c r="GZ178" s="214"/>
      <c r="HA178" s="214"/>
      <c r="HB178" s="214"/>
      <c r="HC178" s="214"/>
      <c r="HD178" s="214"/>
      <c r="HE178" s="214"/>
      <c r="HF178" s="214"/>
      <c r="HG178" s="214"/>
      <c r="HH178" s="214"/>
      <c r="HI178" s="214"/>
      <c r="HJ178" s="214"/>
      <c r="HK178" s="214"/>
      <c r="HL178" s="214"/>
      <c r="HM178" s="214"/>
      <c r="HN178" s="214"/>
      <c r="HO178" s="214"/>
      <c r="HP178" s="214"/>
      <c r="HQ178" s="214"/>
      <c r="HR178" s="214"/>
      <c r="HS178" s="214"/>
      <c r="HT178" s="214"/>
      <c r="HU178" s="214"/>
      <c r="HV178" s="214"/>
      <c r="HW178" s="214"/>
      <c r="HX178" s="214"/>
      <c r="HY178" s="214"/>
      <c r="HZ178" s="214"/>
      <c r="IA178" s="214"/>
      <c r="IB178" s="214"/>
      <c r="IC178" s="214"/>
      <c r="ID178" s="214"/>
      <c r="IE178" s="214"/>
      <c r="IF178" s="214"/>
      <c r="IG178" s="214"/>
      <c r="IH178" s="214"/>
      <c r="II178" s="214"/>
      <c r="IJ178" s="214"/>
      <c r="IK178" s="214"/>
      <c r="IL178" s="214"/>
      <c r="IM178" s="214"/>
      <c r="IN178" s="214"/>
      <c r="IO178" s="214"/>
      <c r="IP178" s="214"/>
      <c r="IQ178" s="214"/>
      <c r="IR178" s="214"/>
      <c r="IS178" s="214"/>
      <c r="IT178" s="214"/>
      <c r="IU178" s="214"/>
      <c r="IV178" s="214"/>
      <c r="IW178" s="214"/>
      <c r="IX178" s="214"/>
      <c r="IY178" s="214"/>
      <c r="IZ178" s="214"/>
      <c r="JA178" s="214"/>
      <c r="JB178" s="214"/>
      <c r="JC178" s="214"/>
      <c r="JD178" s="214"/>
      <c r="JE178" s="214"/>
      <c r="JF178" s="214"/>
      <c r="JG178" s="214"/>
      <c r="JH178" s="214"/>
      <c r="JI178" s="214"/>
    </row>
    <row r="179" spans="1:269">
      <c r="A179" s="214"/>
      <c r="B179" s="214"/>
      <c r="C179" s="214"/>
      <c r="D179" s="214"/>
      <c r="E179" s="214"/>
      <c r="F179" s="214"/>
      <c r="G179" s="214"/>
      <c r="H179" s="214"/>
      <c r="I179" s="214"/>
      <c r="J179" s="214"/>
      <c r="K179" s="214"/>
      <c r="L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14"/>
      <c r="EA179" s="214"/>
      <c r="EB179" s="214"/>
      <c r="EC179" s="214"/>
      <c r="ED179" s="214"/>
      <c r="EE179" s="214"/>
      <c r="EF179" s="214"/>
      <c r="EG179" s="214"/>
      <c r="EH179" s="214"/>
      <c r="EI179" s="214"/>
      <c r="EJ179" s="214"/>
      <c r="EK179" s="214"/>
      <c r="EL179" s="214"/>
      <c r="EM179" s="214"/>
      <c r="EN179" s="214"/>
      <c r="EO179" s="214"/>
      <c r="EP179" s="214"/>
      <c r="EQ179" s="214"/>
      <c r="ER179" s="214"/>
      <c r="ES179" s="214"/>
      <c r="ET179" s="214"/>
      <c r="EU179" s="214"/>
      <c r="EV179" s="214"/>
      <c r="EW179" s="214"/>
      <c r="EX179" s="214"/>
      <c r="EY179" s="214"/>
      <c r="EZ179" s="214"/>
      <c r="FA179" s="214"/>
      <c r="FB179" s="214"/>
      <c r="FC179" s="214"/>
      <c r="FD179" s="214"/>
      <c r="FE179" s="214"/>
      <c r="FF179" s="214"/>
      <c r="FG179" s="214"/>
      <c r="FH179" s="214"/>
      <c r="FI179" s="214"/>
      <c r="FJ179" s="214"/>
      <c r="FK179" s="214"/>
      <c r="FL179" s="214"/>
      <c r="FM179" s="214"/>
      <c r="FN179" s="214"/>
      <c r="FO179" s="214"/>
      <c r="FP179" s="214"/>
      <c r="FQ179" s="214"/>
      <c r="FR179" s="214"/>
      <c r="FS179" s="214"/>
      <c r="FT179" s="214"/>
      <c r="FU179" s="214"/>
      <c r="FV179" s="214"/>
      <c r="FW179" s="214"/>
      <c r="FX179" s="214"/>
      <c r="FY179" s="214"/>
      <c r="FZ179" s="214"/>
      <c r="GA179" s="214"/>
      <c r="GB179" s="214"/>
      <c r="GC179" s="214"/>
      <c r="GD179" s="214"/>
      <c r="GE179" s="214"/>
      <c r="GF179" s="214"/>
      <c r="GG179" s="214"/>
      <c r="GH179" s="214"/>
      <c r="GI179" s="214"/>
      <c r="GJ179" s="214"/>
      <c r="GK179" s="214"/>
      <c r="GL179" s="214"/>
      <c r="GM179" s="214"/>
      <c r="GN179" s="214"/>
      <c r="GO179" s="214"/>
      <c r="GP179" s="214"/>
      <c r="GQ179" s="214"/>
      <c r="GR179" s="214"/>
      <c r="GS179" s="214"/>
      <c r="GT179" s="214"/>
      <c r="GU179" s="214"/>
      <c r="GV179" s="214"/>
      <c r="GW179" s="214"/>
      <c r="GX179" s="214"/>
      <c r="GY179" s="214"/>
      <c r="GZ179" s="214"/>
      <c r="HA179" s="214"/>
      <c r="HB179" s="214"/>
      <c r="HC179" s="214"/>
      <c r="HD179" s="214"/>
      <c r="HE179" s="214"/>
      <c r="HF179" s="214"/>
      <c r="HG179" s="214"/>
      <c r="HH179" s="214"/>
      <c r="HI179" s="214"/>
      <c r="HJ179" s="214"/>
      <c r="HK179" s="214"/>
      <c r="HL179" s="214"/>
      <c r="HM179" s="214"/>
      <c r="HN179" s="214"/>
      <c r="HO179" s="214"/>
      <c r="HP179" s="214"/>
      <c r="HQ179" s="214"/>
      <c r="HR179" s="214"/>
      <c r="HS179" s="214"/>
      <c r="HT179" s="214"/>
      <c r="HU179" s="214"/>
      <c r="HV179" s="214"/>
      <c r="HW179" s="214"/>
      <c r="HX179" s="214"/>
      <c r="HY179" s="214"/>
      <c r="HZ179" s="214"/>
      <c r="IA179" s="214"/>
      <c r="IB179" s="214"/>
      <c r="IC179" s="214"/>
      <c r="ID179" s="214"/>
      <c r="IE179" s="214"/>
      <c r="IF179" s="214"/>
      <c r="IG179" s="214"/>
      <c r="IH179" s="214"/>
      <c r="II179" s="214"/>
      <c r="IJ179" s="214"/>
      <c r="IK179" s="214"/>
      <c r="IL179" s="214"/>
      <c r="IM179" s="214"/>
      <c r="IN179" s="214"/>
      <c r="IO179" s="214"/>
      <c r="IP179" s="214"/>
      <c r="IQ179" s="214"/>
      <c r="IR179" s="214"/>
      <c r="IS179" s="214"/>
      <c r="IT179" s="214"/>
      <c r="IU179" s="214"/>
      <c r="IV179" s="214"/>
      <c r="IW179" s="214"/>
      <c r="IX179" s="214"/>
      <c r="IY179" s="214"/>
      <c r="IZ179" s="214"/>
      <c r="JA179" s="214"/>
      <c r="JB179" s="214"/>
      <c r="JC179" s="214"/>
      <c r="JD179" s="214"/>
      <c r="JE179" s="214"/>
      <c r="JF179" s="214"/>
      <c r="JG179" s="214"/>
      <c r="JH179" s="214"/>
      <c r="JI179" s="214"/>
    </row>
    <row r="180" spans="1:269">
      <c r="A180" s="214"/>
      <c r="B180" s="214"/>
      <c r="C180" s="214"/>
      <c r="D180" s="214"/>
      <c r="E180" s="214"/>
      <c r="F180" s="214"/>
      <c r="G180" s="214"/>
      <c r="H180" s="214"/>
      <c r="I180" s="214"/>
      <c r="J180" s="214"/>
      <c r="K180" s="214"/>
      <c r="L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214"/>
      <c r="DL180" s="214"/>
      <c r="DM180" s="214"/>
      <c r="DN180" s="214"/>
      <c r="DO180" s="214"/>
      <c r="DP180" s="214"/>
      <c r="DQ180" s="214"/>
      <c r="DR180" s="214"/>
      <c r="DS180" s="214"/>
      <c r="DT180" s="214"/>
      <c r="DU180" s="214"/>
      <c r="DV180" s="214"/>
      <c r="DW180" s="214"/>
      <c r="DX180" s="214"/>
      <c r="DY180" s="214"/>
      <c r="DZ180" s="214"/>
      <c r="EA180" s="214"/>
      <c r="EB180" s="214"/>
      <c r="EC180" s="214"/>
      <c r="ED180" s="214"/>
      <c r="EE180" s="214"/>
      <c r="EF180" s="214"/>
      <c r="EG180" s="214"/>
      <c r="EH180" s="214"/>
      <c r="EI180" s="214"/>
      <c r="EJ180" s="214"/>
      <c r="EK180" s="214"/>
      <c r="EL180" s="214"/>
      <c r="EM180" s="214"/>
      <c r="EN180" s="214"/>
      <c r="EO180" s="214"/>
      <c r="EP180" s="214"/>
      <c r="EQ180" s="214"/>
      <c r="ER180" s="214"/>
      <c r="ES180" s="214"/>
      <c r="ET180" s="214"/>
      <c r="EU180" s="214"/>
      <c r="EV180" s="214"/>
      <c r="EW180" s="214"/>
      <c r="EX180" s="214"/>
      <c r="EY180" s="214"/>
      <c r="EZ180" s="214"/>
      <c r="FA180" s="214"/>
      <c r="FB180" s="214"/>
      <c r="FC180" s="214"/>
      <c r="FD180" s="214"/>
      <c r="FE180" s="214"/>
      <c r="FF180" s="214"/>
      <c r="FG180" s="214"/>
      <c r="FH180" s="214"/>
      <c r="FI180" s="214"/>
      <c r="FJ180" s="214"/>
      <c r="FK180" s="214"/>
      <c r="FL180" s="214"/>
      <c r="FM180" s="214"/>
      <c r="FN180" s="214"/>
      <c r="FO180" s="214"/>
      <c r="FP180" s="214"/>
      <c r="FQ180" s="214"/>
      <c r="FR180" s="214"/>
      <c r="FS180" s="214"/>
      <c r="FT180" s="214"/>
      <c r="FU180" s="214"/>
      <c r="FV180" s="214"/>
      <c r="FW180" s="214"/>
      <c r="FX180" s="214"/>
      <c r="FY180" s="214"/>
      <c r="FZ180" s="214"/>
      <c r="GA180" s="214"/>
      <c r="GB180" s="214"/>
      <c r="GC180" s="214"/>
      <c r="GD180" s="214"/>
      <c r="GE180" s="214"/>
      <c r="GF180" s="214"/>
      <c r="GG180" s="214"/>
      <c r="GH180" s="214"/>
      <c r="GI180" s="214"/>
      <c r="GJ180" s="214"/>
      <c r="GK180" s="214"/>
      <c r="GL180" s="214"/>
      <c r="GM180" s="214"/>
      <c r="GN180" s="214"/>
      <c r="GO180" s="214"/>
      <c r="GP180" s="214"/>
      <c r="GQ180" s="214"/>
      <c r="GR180" s="214"/>
      <c r="GS180" s="214"/>
      <c r="GT180" s="214"/>
      <c r="GU180" s="214"/>
      <c r="GV180" s="214"/>
      <c r="GW180" s="214"/>
      <c r="GX180" s="214"/>
      <c r="GY180" s="214"/>
      <c r="GZ180" s="214"/>
      <c r="HA180" s="214"/>
      <c r="HB180" s="214"/>
      <c r="HC180" s="214"/>
      <c r="HD180" s="214"/>
      <c r="HE180" s="214"/>
      <c r="HF180" s="214"/>
      <c r="HG180" s="214"/>
      <c r="HH180" s="214"/>
      <c r="HI180" s="214"/>
      <c r="HJ180" s="214"/>
      <c r="HK180" s="214"/>
      <c r="HL180" s="214"/>
      <c r="HM180" s="214"/>
      <c r="HN180" s="214"/>
      <c r="HO180" s="214"/>
      <c r="HP180" s="214"/>
      <c r="HQ180" s="214"/>
      <c r="HR180" s="214"/>
      <c r="HS180" s="214"/>
      <c r="HT180" s="214"/>
      <c r="HU180" s="214"/>
      <c r="HV180" s="214"/>
      <c r="HW180" s="214"/>
      <c r="HX180" s="214"/>
      <c r="HY180" s="214"/>
      <c r="HZ180" s="214"/>
      <c r="IA180" s="214"/>
      <c r="IB180" s="214"/>
      <c r="IC180" s="214"/>
      <c r="ID180" s="214"/>
      <c r="IE180" s="214"/>
      <c r="IF180" s="214"/>
      <c r="IG180" s="214"/>
      <c r="IH180" s="214"/>
      <c r="II180" s="214"/>
      <c r="IJ180" s="214"/>
      <c r="IK180" s="214"/>
      <c r="IL180" s="214"/>
      <c r="IM180" s="214"/>
      <c r="IN180" s="214"/>
      <c r="IO180" s="214"/>
      <c r="IP180" s="214"/>
      <c r="IQ180" s="214"/>
      <c r="IR180" s="214"/>
      <c r="IS180" s="214"/>
      <c r="IT180" s="214"/>
      <c r="IU180" s="214"/>
      <c r="IV180" s="214"/>
      <c r="IW180" s="214"/>
      <c r="IX180" s="214"/>
      <c r="IY180" s="214"/>
      <c r="IZ180" s="214"/>
      <c r="JA180" s="214"/>
      <c r="JB180" s="214"/>
      <c r="JC180" s="214"/>
      <c r="JD180" s="214"/>
      <c r="JE180" s="214"/>
      <c r="JF180" s="214"/>
      <c r="JG180" s="214"/>
      <c r="JH180" s="214"/>
      <c r="JI180" s="214"/>
    </row>
    <row r="181" spans="1:269">
      <c r="A181" s="214"/>
      <c r="B181" s="214"/>
      <c r="C181" s="214"/>
      <c r="D181" s="214"/>
      <c r="E181" s="214"/>
      <c r="F181" s="214"/>
      <c r="G181" s="214"/>
      <c r="H181" s="214"/>
      <c r="I181" s="214"/>
      <c r="J181" s="214"/>
      <c r="K181" s="214"/>
      <c r="L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4"/>
      <c r="BL181" s="214"/>
      <c r="BM181" s="214"/>
      <c r="BN181" s="214"/>
      <c r="BO181" s="214"/>
      <c r="BP181" s="214"/>
      <c r="BQ181" s="214"/>
      <c r="BR181" s="214"/>
      <c r="BS181" s="214"/>
      <c r="BT181" s="214"/>
      <c r="BU181" s="214"/>
      <c r="BV181" s="214"/>
      <c r="BW181" s="214"/>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14"/>
      <c r="DL181" s="214"/>
      <c r="DM181" s="214"/>
      <c r="DN181" s="214"/>
      <c r="DO181" s="214"/>
      <c r="DP181" s="214"/>
      <c r="DQ181" s="214"/>
      <c r="DR181" s="214"/>
      <c r="DS181" s="214"/>
      <c r="DT181" s="214"/>
      <c r="DU181" s="214"/>
      <c r="DV181" s="214"/>
      <c r="DW181" s="214"/>
      <c r="DX181" s="214"/>
      <c r="DY181" s="214"/>
      <c r="DZ181" s="214"/>
      <c r="EA181" s="214"/>
      <c r="EB181" s="214"/>
      <c r="EC181" s="214"/>
      <c r="ED181" s="214"/>
      <c r="EE181" s="214"/>
      <c r="EF181" s="214"/>
      <c r="EG181" s="214"/>
      <c r="EH181" s="214"/>
      <c r="EI181" s="214"/>
      <c r="EJ181" s="214"/>
      <c r="EK181" s="214"/>
      <c r="EL181" s="214"/>
      <c r="EM181" s="214"/>
      <c r="EN181" s="214"/>
      <c r="EO181" s="214"/>
      <c r="EP181" s="214"/>
      <c r="EQ181" s="214"/>
      <c r="ER181" s="214"/>
      <c r="ES181" s="214"/>
      <c r="ET181" s="214"/>
      <c r="EU181" s="214"/>
      <c r="EV181" s="214"/>
      <c r="EW181" s="214"/>
      <c r="EX181" s="214"/>
      <c r="EY181" s="214"/>
      <c r="EZ181" s="214"/>
      <c r="FA181" s="214"/>
      <c r="FB181" s="214"/>
      <c r="FC181" s="214"/>
      <c r="FD181" s="214"/>
      <c r="FE181" s="214"/>
      <c r="FF181" s="214"/>
      <c r="FG181" s="214"/>
      <c r="FH181" s="214"/>
      <c r="FI181" s="214"/>
      <c r="FJ181" s="214"/>
      <c r="FK181" s="214"/>
      <c r="FL181" s="214"/>
      <c r="FM181" s="214"/>
      <c r="FN181" s="214"/>
      <c r="FO181" s="214"/>
      <c r="FP181" s="214"/>
      <c r="FQ181" s="214"/>
      <c r="FR181" s="214"/>
      <c r="FS181" s="214"/>
      <c r="FT181" s="214"/>
      <c r="FU181" s="214"/>
      <c r="FV181" s="214"/>
      <c r="FW181" s="214"/>
      <c r="FX181" s="214"/>
      <c r="FY181" s="214"/>
      <c r="FZ181" s="214"/>
      <c r="GA181" s="214"/>
      <c r="GB181" s="214"/>
      <c r="GC181" s="214"/>
      <c r="GD181" s="214"/>
      <c r="GE181" s="214"/>
      <c r="GF181" s="214"/>
      <c r="GG181" s="214"/>
      <c r="GH181" s="214"/>
      <c r="GI181" s="214"/>
      <c r="GJ181" s="214"/>
      <c r="GK181" s="214"/>
      <c r="GL181" s="214"/>
      <c r="GM181" s="214"/>
      <c r="GN181" s="214"/>
      <c r="GO181" s="214"/>
      <c r="GP181" s="214"/>
      <c r="GQ181" s="214"/>
      <c r="GR181" s="214"/>
      <c r="GS181" s="214"/>
      <c r="GT181" s="214"/>
      <c r="GU181" s="214"/>
      <c r="GV181" s="214"/>
      <c r="GW181" s="214"/>
      <c r="GX181" s="214"/>
      <c r="GY181" s="214"/>
      <c r="GZ181" s="214"/>
      <c r="HA181" s="214"/>
      <c r="HB181" s="214"/>
      <c r="HC181" s="214"/>
      <c r="HD181" s="214"/>
      <c r="HE181" s="214"/>
      <c r="HF181" s="214"/>
      <c r="HG181" s="214"/>
      <c r="HH181" s="214"/>
      <c r="HI181" s="214"/>
      <c r="HJ181" s="214"/>
      <c r="HK181" s="214"/>
      <c r="HL181" s="214"/>
      <c r="HM181" s="214"/>
      <c r="HN181" s="214"/>
      <c r="HO181" s="214"/>
      <c r="HP181" s="214"/>
      <c r="HQ181" s="214"/>
      <c r="HR181" s="214"/>
      <c r="HS181" s="214"/>
      <c r="HT181" s="214"/>
      <c r="HU181" s="214"/>
      <c r="HV181" s="214"/>
      <c r="HW181" s="214"/>
      <c r="HX181" s="214"/>
      <c r="HY181" s="214"/>
      <c r="HZ181" s="214"/>
      <c r="IA181" s="214"/>
      <c r="IB181" s="214"/>
      <c r="IC181" s="214"/>
      <c r="ID181" s="214"/>
      <c r="IE181" s="214"/>
      <c r="IF181" s="214"/>
      <c r="IG181" s="214"/>
      <c r="IH181" s="214"/>
      <c r="II181" s="214"/>
      <c r="IJ181" s="214"/>
      <c r="IK181" s="214"/>
      <c r="IL181" s="214"/>
      <c r="IM181" s="214"/>
      <c r="IN181" s="214"/>
      <c r="IO181" s="214"/>
      <c r="IP181" s="214"/>
      <c r="IQ181" s="214"/>
      <c r="IR181" s="214"/>
      <c r="IS181" s="214"/>
      <c r="IT181" s="214"/>
      <c r="IU181" s="214"/>
      <c r="IV181" s="214"/>
      <c r="IW181" s="214"/>
      <c r="IX181" s="214"/>
      <c r="IY181" s="214"/>
      <c r="IZ181" s="214"/>
      <c r="JA181" s="214"/>
      <c r="JB181" s="214"/>
      <c r="JC181" s="214"/>
      <c r="JD181" s="214"/>
      <c r="JE181" s="214"/>
      <c r="JF181" s="214"/>
      <c r="JG181" s="214"/>
      <c r="JH181" s="214"/>
      <c r="JI181" s="214"/>
    </row>
    <row r="182" spans="1:269">
      <c r="A182" s="214"/>
      <c r="B182" s="214"/>
      <c r="C182" s="214"/>
      <c r="D182" s="214"/>
      <c r="E182" s="214"/>
      <c r="F182" s="214"/>
      <c r="G182" s="214"/>
      <c r="H182" s="214"/>
      <c r="I182" s="214"/>
      <c r="J182" s="214"/>
      <c r="K182" s="214"/>
      <c r="L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c r="DS182" s="214"/>
      <c r="DT182" s="214"/>
      <c r="DU182" s="214"/>
      <c r="DV182" s="214"/>
      <c r="DW182" s="214"/>
      <c r="DX182" s="214"/>
      <c r="DY182" s="214"/>
      <c r="DZ182" s="214"/>
      <c r="EA182" s="214"/>
      <c r="EB182" s="214"/>
      <c r="EC182" s="214"/>
      <c r="ED182" s="214"/>
      <c r="EE182" s="214"/>
      <c r="EF182" s="214"/>
      <c r="EG182" s="214"/>
      <c r="EH182" s="214"/>
      <c r="EI182" s="214"/>
      <c r="EJ182" s="214"/>
      <c r="EK182" s="214"/>
      <c r="EL182" s="214"/>
      <c r="EM182" s="214"/>
      <c r="EN182" s="214"/>
      <c r="EO182" s="214"/>
      <c r="EP182" s="214"/>
      <c r="EQ182" s="214"/>
      <c r="ER182" s="214"/>
      <c r="ES182" s="214"/>
      <c r="ET182" s="214"/>
      <c r="EU182" s="214"/>
      <c r="EV182" s="214"/>
      <c r="EW182" s="214"/>
      <c r="EX182" s="214"/>
      <c r="EY182" s="214"/>
      <c r="EZ182" s="214"/>
      <c r="FA182" s="214"/>
      <c r="FB182" s="214"/>
      <c r="FC182" s="214"/>
      <c r="FD182" s="214"/>
      <c r="FE182" s="214"/>
      <c r="FF182" s="214"/>
      <c r="FG182" s="214"/>
      <c r="FH182" s="214"/>
      <c r="FI182" s="214"/>
      <c r="FJ182" s="214"/>
      <c r="FK182" s="214"/>
      <c r="FL182" s="214"/>
      <c r="FM182" s="214"/>
      <c r="FN182" s="214"/>
      <c r="FO182" s="214"/>
      <c r="FP182" s="214"/>
      <c r="FQ182" s="214"/>
      <c r="FR182" s="214"/>
      <c r="FS182" s="214"/>
      <c r="FT182" s="214"/>
      <c r="FU182" s="214"/>
      <c r="FV182" s="214"/>
      <c r="FW182" s="214"/>
      <c r="FX182" s="214"/>
      <c r="FY182" s="214"/>
      <c r="FZ182" s="214"/>
      <c r="GA182" s="214"/>
      <c r="GB182" s="214"/>
      <c r="GC182" s="214"/>
      <c r="GD182" s="214"/>
      <c r="GE182" s="214"/>
      <c r="GF182" s="214"/>
      <c r="GG182" s="214"/>
      <c r="GH182" s="214"/>
      <c r="GI182" s="214"/>
      <c r="GJ182" s="214"/>
      <c r="GK182" s="214"/>
      <c r="GL182" s="214"/>
      <c r="GM182" s="214"/>
      <c r="GN182" s="214"/>
      <c r="GO182" s="214"/>
      <c r="GP182" s="214"/>
      <c r="GQ182" s="214"/>
      <c r="GR182" s="214"/>
      <c r="GS182" s="214"/>
      <c r="GT182" s="214"/>
      <c r="GU182" s="214"/>
      <c r="GV182" s="214"/>
      <c r="GW182" s="214"/>
      <c r="GX182" s="214"/>
      <c r="GY182" s="214"/>
      <c r="GZ182" s="214"/>
      <c r="HA182" s="214"/>
      <c r="HB182" s="214"/>
      <c r="HC182" s="214"/>
      <c r="HD182" s="214"/>
      <c r="HE182" s="214"/>
      <c r="HF182" s="214"/>
      <c r="HG182" s="214"/>
      <c r="HH182" s="214"/>
      <c r="HI182" s="214"/>
      <c r="HJ182" s="214"/>
      <c r="HK182" s="214"/>
      <c r="HL182" s="214"/>
      <c r="HM182" s="214"/>
      <c r="HN182" s="214"/>
      <c r="HO182" s="214"/>
      <c r="HP182" s="214"/>
      <c r="HQ182" s="214"/>
      <c r="HR182" s="214"/>
      <c r="HS182" s="214"/>
      <c r="HT182" s="214"/>
      <c r="HU182" s="214"/>
      <c r="HV182" s="214"/>
      <c r="HW182" s="214"/>
      <c r="HX182" s="214"/>
      <c r="HY182" s="214"/>
      <c r="HZ182" s="214"/>
      <c r="IA182" s="214"/>
      <c r="IB182" s="214"/>
      <c r="IC182" s="214"/>
      <c r="ID182" s="214"/>
      <c r="IE182" s="214"/>
      <c r="IF182" s="214"/>
      <c r="IG182" s="214"/>
      <c r="IH182" s="214"/>
      <c r="II182" s="214"/>
      <c r="IJ182" s="214"/>
      <c r="IK182" s="214"/>
      <c r="IL182" s="214"/>
      <c r="IM182" s="214"/>
      <c r="IN182" s="214"/>
      <c r="IO182" s="214"/>
      <c r="IP182" s="214"/>
      <c r="IQ182" s="214"/>
      <c r="IR182" s="214"/>
      <c r="IS182" s="214"/>
      <c r="IT182" s="214"/>
      <c r="IU182" s="214"/>
      <c r="IV182" s="214"/>
      <c r="IW182" s="214"/>
      <c r="IX182" s="214"/>
      <c r="IY182" s="214"/>
      <c r="IZ182" s="214"/>
      <c r="JA182" s="214"/>
      <c r="JB182" s="214"/>
      <c r="JC182" s="214"/>
      <c r="JD182" s="214"/>
      <c r="JE182" s="214"/>
      <c r="JF182" s="214"/>
      <c r="JG182" s="214"/>
      <c r="JH182" s="214"/>
      <c r="JI182" s="214"/>
    </row>
    <row r="183" spans="1:269">
      <c r="A183" s="214"/>
      <c r="B183" s="214"/>
      <c r="C183" s="214"/>
      <c r="D183" s="214"/>
      <c r="E183" s="214"/>
      <c r="F183" s="214"/>
      <c r="G183" s="214"/>
      <c r="H183" s="214"/>
      <c r="I183" s="214"/>
      <c r="J183" s="214"/>
      <c r="K183" s="214"/>
      <c r="L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c r="DS183" s="214"/>
      <c r="DT183" s="214"/>
      <c r="DU183" s="214"/>
      <c r="DV183" s="214"/>
      <c r="DW183" s="214"/>
      <c r="DX183" s="214"/>
      <c r="DY183" s="214"/>
      <c r="DZ183" s="214"/>
      <c r="EA183" s="214"/>
      <c r="EB183" s="214"/>
      <c r="EC183" s="214"/>
      <c r="ED183" s="214"/>
      <c r="EE183" s="214"/>
      <c r="EF183" s="214"/>
      <c r="EG183" s="214"/>
      <c r="EH183" s="214"/>
      <c r="EI183" s="214"/>
      <c r="EJ183" s="214"/>
      <c r="EK183" s="214"/>
      <c r="EL183" s="214"/>
      <c r="EM183" s="214"/>
      <c r="EN183" s="214"/>
      <c r="EO183" s="214"/>
      <c r="EP183" s="214"/>
      <c r="EQ183" s="214"/>
      <c r="ER183" s="214"/>
      <c r="ES183" s="214"/>
      <c r="ET183" s="214"/>
      <c r="EU183" s="214"/>
      <c r="EV183" s="214"/>
      <c r="EW183" s="214"/>
      <c r="EX183" s="214"/>
      <c r="EY183" s="214"/>
      <c r="EZ183" s="214"/>
      <c r="FA183" s="214"/>
      <c r="FB183" s="214"/>
      <c r="FC183" s="214"/>
      <c r="FD183" s="214"/>
      <c r="FE183" s="214"/>
      <c r="FF183" s="214"/>
      <c r="FG183" s="214"/>
      <c r="FH183" s="214"/>
      <c r="FI183" s="214"/>
      <c r="FJ183" s="214"/>
      <c r="FK183" s="214"/>
      <c r="FL183" s="214"/>
      <c r="FM183" s="214"/>
      <c r="FN183" s="214"/>
      <c r="FO183" s="214"/>
      <c r="FP183" s="214"/>
      <c r="FQ183" s="214"/>
      <c r="FR183" s="214"/>
      <c r="FS183" s="214"/>
      <c r="FT183" s="214"/>
      <c r="FU183" s="214"/>
      <c r="FV183" s="214"/>
      <c r="FW183" s="214"/>
      <c r="FX183" s="214"/>
      <c r="FY183" s="214"/>
      <c r="FZ183" s="214"/>
      <c r="GA183" s="214"/>
      <c r="GB183" s="214"/>
      <c r="GC183" s="214"/>
      <c r="GD183" s="214"/>
      <c r="GE183" s="214"/>
      <c r="GF183" s="214"/>
      <c r="GG183" s="214"/>
      <c r="GH183" s="214"/>
      <c r="GI183" s="214"/>
      <c r="GJ183" s="214"/>
      <c r="GK183" s="214"/>
      <c r="GL183" s="214"/>
      <c r="GM183" s="214"/>
      <c r="GN183" s="214"/>
      <c r="GO183" s="214"/>
      <c r="GP183" s="214"/>
      <c r="GQ183" s="214"/>
      <c r="GR183" s="214"/>
      <c r="GS183" s="214"/>
      <c r="GT183" s="214"/>
      <c r="GU183" s="214"/>
      <c r="GV183" s="214"/>
      <c r="GW183" s="214"/>
      <c r="GX183" s="214"/>
      <c r="GY183" s="214"/>
      <c r="GZ183" s="214"/>
      <c r="HA183" s="214"/>
      <c r="HB183" s="214"/>
      <c r="HC183" s="214"/>
      <c r="HD183" s="214"/>
      <c r="HE183" s="214"/>
      <c r="HF183" s="214"/>
      <c r="HG183" s="214"/>
      <c r="HH183" s="214"/>
      <c r="HI183" s="214"/>
      <c r="HJ183" s="214"/>
      <c r="HK183" s="214"/>
      <c r="HL183" s="214"/>
      <c r="HM183" s="214"/>
      <c r="HN183" s="214"/>
      <c r="HO183" s="214"/>
      <c r="HP183" s="214"/>
      <c r="HQ183" s="214"/>
      <c r="HR183" s="214"/>
      <c r="HS183" s="214"/>
      <c r="HT183" s="214"/>
      <c r="HU183" s="214"/>
      <c r="HV183" s="214"/>
      <c r="HW183" s="214"/>
      <c r="HX183" s="214"/>
      <c r="HY183" s="214"/>
      <c r="HZ183" s="214"/>
      <c r="IA183" s="214"/>
      <c r="IB183" s="214"/>
      <c r="IC183" s="214"/>
      <c r="ID183" s="214"/>
      <c r="IE183" s="214"/>
      <c r="IF183" s="214"/>
      <c r="IG183" s="214"/>
      <c r="IH183" s="214"/>
      <c r="II183" s="214"/>
      <c r="IJ183" s="214"/>
      <c r="IK183" s="214"/>
      <c r="IL183" s="214"/>
      <c r="IM183" s="214"/>
      <c r="IN183" s="214"/>
      <c r="IO183" s="214"/>
      <c r="IP183" s="214"/>
      <c r="IQ183" s="214"/>
      <c r="IR183" s="214"/>
      <c r="IS183" s="214"/>
      <c r="IT183" s="214"/>
      <c r="IU183" s="214"/>
      <c r="IV183" s="214"/>
      <c r="IW183" s="214"/>
      <c r="IX183" s="214"/>
      <c r="IY183" s="214"/>
      <c r="IZ183" s="214"/>
      <c r="JA183" s="214"/>
      <c r="JB183" s="214"/>
      <c r="JC183" s="214"/>
      <c r="JD183" s="214"/>
      <c r="JE183" s="214"/>
      <c r="JF183" s="214"/>
      <c r="JG183" s="214"/>
      <c r="JH183" s="214"/>
      <c r="JI183" s="214"/>
    </row>
    <row r="184" spans="1:269">
      <c r="A184" s="214"/>
      <c r="B184" s="214"/>
      <c r="C184" s="214"/>
      <c r="D184" s="214"/>
      <c r="E184" s="214"/>
      <c r="F184" s="214"/>
      <c r="G184" s="214"/>
      <c r="H184" s="214"/>
      <c r="I184" s="214"/>
      <c r="J184" s="214"/>
      <c r="K184" s="214"/>
      <c r="L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c r="DS184" s="214"/>
      <c r="DT184" s="214"/>
      <c r="DU184" s="214"/>
      <c r="DV184" s="214"/>
      <c r="DW184" s="214"/>
      <c r="DX184" s="214"/>
      <c r="DY184" s="214"/>
      <c r="DZ184" s="214"/>
      <c r="EA184" s="214"/>
      <c r="EB184" s="214"/>
      <c r="EC184" s="214"/>
      <c r="ED184" s="214"/>
      <c r="EE184" s="214"/>
      <c r="EF184" s="214"/>
      <c r="EG184" s="214"/>
      <c r="EH184" s="214"/>
      <c r="EI184" s="214"/>
      <c r="EJ184" s="214"/>
      <c r="EK184" s="214"/>
      <c r="EL184" s="214"/>
      <c r="EM184" s="214"/>
      <c r="EN184" s="214"/>
      <c r="EO184" s="214"/>
      <c r="EP184" s="214"/>
      <c r="EQ184" s="214"/>
      <c r="ER184" s="214"/>
      <c r="ES184" s="214"/>
      <c r="ET184" s="214"/>
      <c r="EU184" s="214"/>
      <c r="EV184" s="214"/>
      <c r="EW184" s="214"/>
      <c r="EX184" s="214"/>
      <c r="EY184" s="214"/>
      <c r="EZ184" s="214"/>
      <c r="FA184" s="214"/>
      <c r="FB184" s="214"/>
      <c r="FC184" s="214"/>
      <c r="FD184" s="214"/>
      <c r="FE184" s="214"/>
      <c r="FF184" s="214"/>
      <c r="FG184" s="214"/>
      <c r="FH184" s="214"/>
      <c r="FI184" s="214"/>
      <c r="FJ184" s="214"/>
      <c r="FK184" s="214"/>
      <c r="FL184" s="214"/>
      <c r="FM184" s="214"/>
      <c r="FN184" s="214"/>
      <c r="FO184" s="214"/>
      <c r="FP184" s="214"/>
      <c r="FQ184" s="214"/>
      <c r="FR184" s="214"/>
      <c r="FS184" s="214"/>
      <c r="FT184" s="214"/>
      <c r="FU184" s="214"/>
      <c r="FV184" s="214"/>
      <c r="FW184" s="214"/>
      <c r="FX184" s="214"/>
      <c r="FY184" s="214"/>
      <c r="FZ184" s="214"/>
      <c r="GA184" s="214"/>
      <c r="GB184" s="214"/>
      <c r="GC184" s="214"/>
      <c r="GD184" s="214"/>
      <c r="GE184" s="214"/>
      <c r="GF184" s="214"/>
      <c r="GG184" s="214"/>
      <c r="GH184" s="214"/>
      <c r="GI184" s="214"/>
      <c r="GJ184" s="214"/>
      <c r="GK184" s="214"/>
      <c r="GL184" s="214"/>
      <c r="GM184" s="214"/>
      <c r="GN184" s="214"/>
      <c r="GO184" s="214"/>
      <c r="GP184" s="214"/>
      <c r="GQ184" s="214"/>
      <c r="GR184" s="214"/>
      <c r="GS184" s="214"/>
      <c r="GT184" s="214"/>
      <c r="GU184" s="214"/>
      <c r="GV184" s="214"/>
      <c r="GW184" s="214"/>
      <c r="GX184" s="214"/>
      <c r="GY184" s="214"/>
      <c r="GZ184" s="214"/>
      <c r="HA184" s="214"/>
      <c r="HB184" s="214"/>
      <c r="HC184" s="214"/>
      <c r="HD184" s="214"/>
      <c r="HE184" s="214"/>
      <c r="HF184" s="214"/>
      <c r="HG184" s="214"/>
      <c r="HH184" s="214"/>
      <c r="HI184" s="214"/>
      <c r="HJ184" s="214"/>
      <c r="HK184" s="214"/>
      <c r="HL184" s="214"/>
      <c r="HM184" s="214"/>
      <c r="HN184" s="214"/>
      <c r="HO184" s="214"/>
      <c r="HP184" s="214"/>
      <c r="HQ184" s="214"/>
      <c r="HR184" s="214"/>
      <c r="HS184" s="214"/>
      <c r="HT184" s="214"/>
      <c r="HU184" s="214"/>
      <c r="HV184" s="214"/>
      <c r="HW184" s="214"/>
      <c r="HX184" s="214"/>
      <c r="HY184" s="214"/>
      <c r="HZ184" s="214"/>
      <c r="IA184" s="214"/>
      <c r="IB184" s="214"/>
      <c r="IC184" s="214"/>
      <c r="ID184" s="214"/>
      <c r="IE184" s="214"/>
      <c r="IF184" s="214"/>
      <c r="IG184" s="214"/>
      <c r="IH184" s="214"/>
      <c r="II184" s="214"/>
      <c r="IJ184" s="214"/>
      <c r="IK184" s="214"/>
      <c r="IL184" s="214"/>
      <c r="IM184" s="214"/>
      <c r="IN184" s="214"/>
      <c r="IO184" s="214"/>
      <c r="IP184" s="214"/>
      <c r="IQ184" s="214"/>
      <c r="IR184" s="214"/>
      <c r="IS184" s="214"/>
      <c r="IT184" s="214"/>
      <c r="IU184" s="214"/>
      <c r="IV184" s="214"/>
      <c r="IW184" s="214"/>
      <c r="IX184" s="214"/>
      <c r="IY184" s="214"/>
      <c r="IZ184" s="214"/>
      <c r="JA184" s="214"/>
      <c r="JB184" s="214"/>
      <c r="JC184" s="214"/>
      <c r="JD184" s="214"/>
      <c r="JE184" s="214"/>
      <c r="JF184" s="214"/>
      <c r="JG184" s="214"/>
      <c r="JH184" s="214"/>
      <c r="JI184" s="214"/>
    </row>
    <row r="185" spans="1:269">
      <c r="A185" s="214"/>
      <c r="B185" s="214"/>
      <c r="C185" s="214"/>
      <c r="D185" s="214"/>
      <c r="E185" s="214"/>
      <c r="F185" s="214"/>
      <c r="G185" s="214"/>
      <c r="H185" s="214"/>
      <c r="I185" s="214"/>
      <c r="J185" s="214"/>
      <c r="K185" s="214"/>
      <c r="L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214"/>
      <c r="CO185" s="214"/>
      <c r="CP185" s="214"/>
      <c r="CQ185" s="214"/>
      <c r="CR185" s="214"/>
      <c r="CS185" s="214"/>
      <c r="CT185" s="214"/>
      <c r="CU185" s="214"/>
      <c r="CV185" s="214"/>
      <c r="CW185" s="214"/>
      <c r="CX185" s="214"/>
      <c r="CY185" s="214"/>
      <c r="CZ185" s="214"/>
      <c r="DA185" s="214"/>
      <c r="DB185" s="214"/>
      <c r="DC185" s="214"/>
      <c r="DD185" s="214"/>
      <c r="DE185" s="214"/>
      <c r="DF185" s="214"/>
      <c r="DG185" s="214"/>
      <c r="DH185" s="214"/>
      <c r="DI185" s="214"/>
      <c r="DJ185" s="214"/>
      <c r="DK185" s="214"/>
      <c r="DL185" s="214"/>
      <c r="DM185" s="214"/>
      <c r="DN185" s="214"/>
      <c r="DO185" s="214"/>
      <c r="DP185" s="214"/>
      <c r="DQ185" s="214"/>
      <c r="DR185" s="214"/>
      <c r="DS185" s="214"/>
      <c r="DT185" s="214"/>
      <c r="DU185" s="214"/>
      <c r="DV185" s="214"/>
      <c r="DW185" s="214"/>
      <c r="DX185" s="214"/>
      <c r="DY185" s="214"/>
      <c r="DZ185" s="214"/>
      <c r="EA185" s="214"/>
      <c r="EB185" s="214"/>
      <c r="EC185" s="214"/>
      <c r="ED185" s="214"/>
      <c r="EE185" s="214"/>
      <c r="EF185" s="214"/>
      <c r="EG185" s="214"/>
      <c r="EH185" s="214"/>
      <c r="EI185" s="214"/>
      <c r="EJ185" s="214"/>
      <c r="EK185" s="214"/>
      <c r="EL185" s="214"/>
      <c r="EM185" s="214"/>
      <c r="EN185" s="214"/>
      <c r="EO185" s="214"/>
      <c r="EP185" s="214"/>
      <c r="EQ185" s="214"/>
      <c r="ER185" s="214"/>
      <c r="ES185" s="214"/>
      <c r="ET185" s="214"/>
      <c r="EU185" s="214"/>
      <c r="EV185" s="214"/>
      <c r="EW185" s="214"/>
      <c r="EX185" s="214"/>
      <c r="EY185" s="214"/>
      <c r="EZ185" s="214"/>
      <c r="FA185" s="214"/>
      <c r="FB185" s="214"/>
      <c r="FC185" s="214"/>
      <c r="FD185" s="214"/>
      <c r="FE185" s="214"/>
      <c r="FF185" s="214"/>
      <c r="FG185" s="214"/>
      <c r="FH185" s="214"/>
      <c r="FI185" s="214"/>
      <c r="FJ185" s="214"/>
      <c r="FK185" s="214"/>
      <c r="FL185" s="214"/>
      <c r="FM185" s="214"/>
      <c r="FN185" s="214"/>
      <c r="FO185" s="214"/>
      <c r="FP185" s="214"/>
      <c r="FQ185" s="214"/>
      <c r="FR185" s="214"/>
      <c r="FS185" s="214"/>
      <c r="FT185" s="214"/>
      <c r="FU185" s="214"/>
      <c r="FV185" s="214"/>
      <c r="FW185" s="214"/>
      <c r="FX185" s="214"/>
      <c r="FY185" s="214"/>
      <c r="FZ185" s="214"/>
      <c r="GA185" s="214"/>
      <c r="GB185" s="214"/>
      <c r="GC185" s="214"/>
      <c r="GD185" s="214"/>
      <c r="GE185" s="214"/>
      <c r="GF185" s="214"/>
      <c r="GG185" s="214"/>
      <c r="GH185" s="214"/>
      <c r="GI185" s="214"/>
      <c r="GJ185" s="214"/>
      <c r="GK185" s="214"/>
      <c r="GL185" s="214"/>
      <c r="GM185" s="214"/>
      <c r="GN185" s="214"/>
      <c r="GO185" s="214"/>
      <c r="GP185" s="214"/>
      <c r="GQ185" s="214"/>
      <c r="GR185" s="214"/>
      <c r="GS185" s="214"/>
      <c r="GT185" s="214"/>
      <c r="GU185" s="214"/>
      <c r="GV185" s="214"/>
      <c r="GW185" s="214"/>
      <c r="GX185" s="214"/>
      <c r="GY185" s="214"/>
      <c r="GZ185" s="214"/>
      <c r="HA185" s="214"/>
      <c r="HB185" s="214"/>
      <c r="HC185" s="214"/>
      <c r="HD185" s="214"/>
      <c r="HE185" s="214"/>
      <c r="HF185" s="214"/>
      <c r="HG185" s="214"/>
      <c r="HH185" s="214"/>
      <c r="HI185" s="214"/>
      <c r="HJ185" s="214"/>
      <c r="HK185" s="214"/>
      <c r="HL185" s="214"/>
      <c r="HM185" s="214"/>
      <c r="HN185" s="214"/>
      <c r="HO185" s="214"/>
      <c r="HP185" s="214"/>
      <c r="HQ185" s="214"/>
      <c r="HR185" s="214"/>
      <c r="HS185" s="214"/>
      <c r="HT185" s="214"/>
      <c r="HU185" s="214"/>
      <c r="HV185" s="214"/>
      <c r="HW185" s="214"/>
      <c r="HX185" s="214"/>
      <c r="HY185" s="214"/>
      <c r="HZ185" s="214"/>
      <c r="IA185" s="214"/>
      <c r="IB185" s="214"/>
      <c r="IC185" s="214"/>
      <c r="ID185" s="214"/>
      <c r="IE185" s="214"/>
      <c r="IF185" s="214"/>
      <c r="IG185" s="214"/>
      <c r="IH185" s="214"/>
      <c r="II185" s="214"/>
      <c r="IJ185" s="214"/>
      <c r="IK185" s="214"/>
      <c r="IL185" s="214"/>
      <c r="IM185" s="214"/>
      <c r="IN185" s="214"/>
      <c r="IO185" s="214"/>
      <c r="IP185" s="214"/>
      <c r="IQ185" s="214"/>
      <c r="IR185" s="214"/>
      <c r="IS185" s="214"/>
      <c r="IT185" s="214"/>
      <c r="IU185" s="214"/>
      <c r="IV185" s="214"/>
      <c r="IW185" s="214"/>
      <c r="IX185" s="214"/>
      <c r="IY185" s="214"/>
      <c r="IZ185" s="214"/>
      <c r="JA185" s="214"/>
      <c r="JB185" s="214"/>
      <c r="JC185" s="214"/>
      <c r="JD185" s="214"/>
      <c r="JE185" s="214"/>
      <c r="JF185" s="214"/>
      <c r="JG185" s="214"/>
      <c r="JH185" s="214"/>
      <c r="JI185" s="214"/>
    </row>
    <row r="186" spans="1:269">
      <c r="A186" s="214"/>
      <c r="B186" s="214"/>
      <c r="C186" s="214"/>
      <c r="D186" s="214"/>
      <c r="E186" s="214"/>
      <c r="F186" s="214"/>
      <c r="G186" s="214"/>
      <c r="H186" s="214"/>
      <c r="I186" s="214"/>
      <c r="J186" s="214"/>
      <c r="K186" s="214"/>
      <c r="L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4"/>
      <c r="BL186" s="214"/>
      <c r="BM186" s="214"/>
      <c r="BN186" s="214"/>
      <c r="BO186" s="214"/>
      <c r="BP186" s="214"/>
      <c r="BQ186" s="214"/>
      <c r="BR186" s="214"/>
      <c r="BS186" s="214"/>
      <c r="BT186" s="214"/>
      <c r="BU186" s="214"/>
      <c r="BV186" s="214"/>
      <c r="BW186" s="214"/>
      <c r="BX186" s="214"/>
      <c r="BY186" s="214"/>
      <c r="BZ186" s="214"/>
      <c r="CA186" s="214"/>
      <c r="CB186" s="214"/>
      <c r="CC186" s="214"/>
      <c r="CD186" s="214"/>
      <c r="CE186" s="214"/>
      <c r="CF186" s="214"/>
      <c r="CG186" s="214"/>
      <c r="CH186" s="214"/>
      <c r="CI186" s="214"/>
      <c r="CJ186" s="214"/>
      <c r="CK186" s="214"/>
      <c r="CL186" s="214"/>
      <c r="CM186" s="214"/>
      <c r="CN186" s="214"/>
      <c r="CO186" s="214"/>
      <c r="CP186" s="214"/>
      <c r="CQ186" s="214"/>
      <c r="CR186" s="214"/>
      <c r="CS186" s="214"/>
      <c r="CT186" s="214"/>
      <c r="CU186" s="214"/>
      <c r="CV186" s="214"/>
      <c r="CW186" s="214"/>
      <c r="CX186" s="214"/>
      <c r="CY186" s="214"/>
      <c r="CZ186" s="214"/>
      <c r="DA186" s="214"/>
      <c r="DB186" s="214"/>
      <c r="DC186" s="214"/>
      <c r="DD186" s="214"/>
      <c r="DE186" s="214"/>
      <c r="DF186" s="214"/>
      <c r="DG186" s="214"/>
      <c r="DH186" s="214"/>
      <c r="DI186" s="214"/>
      <c r="DJ186" s="214"/>
      <c r="DK186" s="214"/>
      <c r="DL186" s="214"/>
      <c r="DM186" s="214"/>
      <c r="DN186" s="214"/>
      <c r="DO186" s="214"/>
      <c r="DP186" s="214"/>
      <c r="DQ186" s="214"/>
      <c r="DR186" s="214"/>
      <c r="DS186" s="214"/>
      <c r="DT186" s="214"/>
      <c r="DU186" s="214"/>
      <c r="DV186" s="214"/>
      <c r="DW186" s="214"/>
      <c r="DX186" s="214"/>
      <c r="DY186" s="214"/>
      <c r="DZ186" s="214"/>
      <c r="EA186" s="214"/>
      <c r="EB186" s="214"/>
      <c r="EC186" s="214"/>
      <c r="ED186" s="214"/>
      <c r="EE186" s="214"/>
      <c r="EF186" s="214"/>
      <c r="EG186" s="214"/>
      <c r="EH186" s="214"/>
      <c r="EI186" s="214"/>
      <c r="EJ186" s="214"/>
      <c r="EK186" s="214"/>
      <c r="EL186" s="214"/>
      <c r="EM186" s="214"/>
      <c r="EN186" s="214"/>
      <c r="EO186" s="214"/>
      <c r="EP186" s="214"/>
      <c r="EQ186" s="214"/>
      <c r="ER186" s="214"/>
      <c r="ES186" s="214"/>
      <c r="ET186" s="214"/>
      <c r="EU186" s="214"/>
      <c r="EV186" s="214"/>
      <c r="EW186" s="214"/>
      <c r="EX186" s="214"/>
      <c r="EY186" s="214"/>
      <c r="EZ186" s="214"/>
      <c r="FA186" s="214"/>
      <c r="FB186" s="214"/>
      <c r="FC186" s="214"/>
      <c r="FD186" s="214"/>
      <c r="FE186" s="214"/>
      <c r="FF186" s="214"/>
      <c r="FG186" s="214"/>
      <c r="FH186" s="214"/>
      <c r="FI186" s="214"/>
      <c r="FJ186" s="214"/>
      <c r="FK186" s="214"/>
      <c r="FL186" s="214"/>
      <c r="FM186" s="214"/>
      <c r="FN186" s="214"/>
      <c r="FO186" s="214"/>
      <c r="FP186" s="214"/>
      <c r="FQ186" s="214"/>
      <c r="FR186" s="214"/>
      <c r="FS186" s="214"/>
      <c r="FT186" s="214"/>
      <c r="FU186" s="214"/>
      <c r="FV186" s="214"/>
      <c r="FW186" s="214"/>
      <c r="FX186" s="214"/>
      <c r="FY186" s="214"/>
      <c r="FZ186" s="214"/>
      <c r="GA186" s="214"/>
      <c r="GB186" s="214"/>
      <c r="GC186" s="214"/>
      <c r="GD186" s="214"/>
      <c r="GE186" s="214"/>
      <c r="GF186" s="214"/>
      <c r="GG186" s="214"/>
      <c r="GH186" s="214"/>
      <c r="GI186" s="214"/>
      <c r="GJ186" s="214"/>
      <c r="GK186" s="214"/>
      <c r="GL186" s="214"/>
      <c r="GM186" s="214"/>
      <c r="GN186" s="214"/>
      <c r="GO186" s="214"/>
      <c r="GP186" s="214"/>
      <c r="GQ186" s="214"/>
      <c r="GR186" s="214"/>
      <c r="GS186" s="214"/>
      <c r="GT186" s="214"/>
      <c r="GU186" s="214"/>
      <c r="GV186" s="214"/>
      <c r="GW186" s="214"/>
      <c r="GX186" s="214"/>
      <c r="GY186" s="214"/>
      <c r="GZ186" s="214"/>
      <c r="HA186" s="214"/>
      <c r="HB186" s="214"/>
      <c r="HC186" s="214"/>
      <c r="HD186" s="214"/>
      <c r="HE186" s="214"/>
      <c r="HF186" s="214"/>
      <c r="HG186" s="214"/>
      <c r="HH186" s="214"/>
      <c r="HI186" s="214"/>
      <c r="HJ186" s="214"/>
      <c r="HK186" s="214"/>
      <c r="HL186" s="214"/>
      <c r="HM186" s="214"/>
      <c r="HN186" s="214"/>
      <c r="HO186" s="214"/>
      <c r="HP186" s="214"/>
      <c r="HQ186" s="214"/>
      <c r="HR186" s="214"/>
      <c r="HS186" s="214"/>
      <c r="HT186" s="214"/>
      <c r="HU186" s="214"/>
      <c r="HV186" s="214"/>
      <c r="HW186" s="214"/>
      <c r="HX186" s="214"/>
      <c r="HY186" s="214"/>
      <c r="HZ186" s="214"/>
      <c r="IA186" s="214"/>
      <c r="IB186" s="214"/>
      <c r="IC186" s="214"/>
      <c r="ID186" s="214"/>
      <c r="IE186" s="214"/>
      <c r="IF186" s="214"/>
      <c r="IG186" s="214"/>
      <c r="IH186" s="214"/>
      <c r="II186" s="214"/>
      <c r="IJ186" s="214"/>
      <c r="IK186" s="214"/>
      <c r="IL186" s="214"/>
      <c r="IM186" s="214"/>
      <c r="IN186" s="214"/>
      <c r="IO186" s="214"/>
      <c r="IP186" s="214"/>
      <c r="IQ186" s="214"/>
      <c r="IR186" s="214"/>
      <c r="IS186" s="214"/>
      <c r="IT186" s="214"/>
      <c r="IU186" s="214"/>
      <c r="IV186" s="214"/>
      <c r="IW186" s="214"/>
      <c r="IX186" s="214"/>
      <c r="IY186" s="214"/>
      <c r="IZ186" s="214"/>
      <c r="JA186" s="214"/>
      <c r="JB186" s="214"/>
      <c r="JC186" s="214"/>
      <c r="JD186" s="214"/>
      <c r="JE186" s="214"/>
      <c r="JF186" s="214"/>
      <c r="JG186" s="214"/>
      <c r="JH186" s="214"/>
      <c r="JI186" s="214"/>
    </row>
    <row r="187" spans="1:269">
      <c r="A187" s="214"/>
      <c r="B187" s="214"/>
      <c r="C187" s="214"/>
      <c r="D187" s="214"/>
      <c r="E187" s="214"/>
      <c r="F187" s="214"/>
      <c r="G187" s="214"/>
      <c r="H187" s="214"/>
      <c r="I187" s="214"/>
      <c r="J187" s="214"/>
      <c r="K187" s="214"/>
      <c r="L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214"/>
      <c r="BN187" s="214"/>
      <c r="BO187" s="214"/>
      <c r="BP187" s="214"/>
      <c r="BQ187" s="214"/>
      <c r="BR187" s="214"/>
      <c r="BS187" s="214"/>
      <c r="BT187" s="214"/>
      <c r="BU187" s="214"/>
      <c r="BV187" s="214"/>
      <c r="BW187" s="214"/>
      <c r="BX187" s="214"/>
      <c r="BY187" s="214"/>
      <c r="BZ187" s="214"/>
      <c r="CA187" s="214"/>
      <c r="CB187" s="214"/>
      <c r="CC187" s="214"/>
      <c r="CD187" s="214"/>
      <c r="CE187" s="214"/>
      <c r="CF187" s="214"/>
      <c r="CG187" s="214"/>
      <c r="CH187" s="214"/>
      <c r="CI187" s="214"/>
      <c r="CJ187" s="214"/>
      <c r="CK187" s="214"/>
      <c r="CL187" s="214"/>
      <c r="CM187" s="214"/>
      <c r="CN187" s="214"/>
      <c r="CO187" s="214"/>
      <c r="CP187" s="214"/>
      <c r="CQ187" s="214"/>
      <c r="CR187" s="214"/>
      <c r="CS187" s="214"/>
      <c r="CT187" s="214"/>
      <c r="CU187" s="214"/>
      <c r="CV187" s="214"/>
      <c r="CW187" s="214"/>
      <c r="CX187" s="214"/>
      <c r="CY187" s="214"/>
      <c r="CZ187" s="214"/>
      <c r="DA187" s="214"/>
      <c r="DB187" s="214"/>
      <c r="DC187" s="214"/>
      <c r="DD187" s="214"/>
      <c r="DE187" s="214"/>
      <c r="DF187" s="214"/>
      <c r="DG187" s="214"/>
      <c r="DH187" s="214"/>
      <c r="DI187" s="214"/>
      <c r="DJ187" s="214"/>
      <c r="DK187" s="214"/>
      <c r="DL187" s="214"/>
      <c r="DM187" s="214"/>
      <c r="DN187" s="214"/>
      <c r="DO187" s="214"/>
      <c r="DP187" s="214"/>
      <c r="DQ187" s="214"/>
      <c r="DR187" s="214"/>
      <c r="DS187" s="214"/>
      <c r="DT187" s="214"/>
      <c r="DU187" s="214"/>
      <c r="DV187" s="214"/>
      <c r="DW187" s="214"/>
      <c r="DX187" s="214"/>
      <c r="DY187" s="214"/>
      <c r="DZ187" s="214"/>
      <c r="EA187" s="214"/>
      <c r="EB187" s="214"/>
      <c r="EC187" s="214"/>
      <c r="ED187" s="214"/>
      <c r="EE187" s="214"/>
      <c r="EF187" s="214"/>
      <c r="EG187" s="214"/>
      <c r="EH187" s="214"/>
      <c r="EI187" s="214"/>
      <c r="EJ187" s="214"/>
      <c r="EK187" s="214"/>
      <c r="EL187" s="214"/>
      <c r="EM187" s="214"/>
      <c r="EN187" s="214"/>
      <c r="EO187" s="214"/>
      <c r="EP187" s="214"/>
      <c r="EQ187" s="214"/>
      <c r="ER187" s="214"/>
      <c r="ES187" s="214"/>
      <c r="ET187" s="214"/>
      <c r="EU187" s="214"/>
      <c r="EV187" s="214"/>
      <c r="EW187" s="214"/>
      <c r="EX187" s="214"/>
      <c r="EY187" s="214"/>
      <c r="EZ187" s="214"/>
      <c r="FA187" s="214"/>
      <c r="FB187" s="214"/>
      <c r="FC187" s="214"/>
      <c r="FD187" s="214"/>
      <c r="FE187" s="214"/>
      <c r="FF187" s="214"/>
      <c r="FG187" s="214"/>
      <c r="FH187" s="214"/>
      <c r="FI187" s="214"/>
      <c r="FJ187" s="214"/>
      <c r="FK187" s="214"/>
      <c r="FL187" s="214"/>
      <c r="FM187" s="214"/>
      <c r="FN187" s="214"/>
      <c r="FO187" s="214"/>
      <c r="FP187" s="214"/>
      <c r="FQ187" s="214"/>
      <c r="FR187" s="214"/>
      <c r="FS187" s="214"/>
      <c r="FT187" s="214"/>
      <c r="FU187" s="214"/>
      <c r="FV187" s="214"/>
      <c r="FW187" s="214"/>
      <c r="FX187" s="214"/>
      <c r="FY187" s="214"/>
      <c r="FZ187" s="214"/>
      <c r="GA187" s="214"/>
      <c r="GB187" s="214"/>
      <c r="GC187" s="214"/>
      <c r="GD187" s="214"/>
      <c r="GE187" s="214"/>
      <c r="GF187" s="214"/>
      <c r="GG187" s="214"/>
      <c r="GH187" s="214"/>
      <c r="GI187" s="214"/>
      <c r="GJ187" s="214"/>
      <c r="GK187" s="214"/>
      <c r="GL187" s="214"/>
      <c r="GM187" s="214"/>
      <c r="GN187" s="214"/>
      <c r="GO187" s="214"/>
      <c r="GP187" s="214"/>
      <c r="GQ187" s="214"/>
      <c r="GR187" s="214"/>
      <c r="GS187" s="214"/>
      <c r="GT187" s="214"/>
      <c r="GU187" s="214"/>
      <c r="GV187" s="214"/>
      <c r="GW187" s="214"/>
      <c r="GX187" s="214"/>
      <c r="GY187" s="214"/>
      <c r="GZ187" s="214"/>
      <c r="HA187" s="214"/>
      <c r="HB187" s="214"/>
      <c r="HC187" s="214"/>
      <c r="HD187" s="214"/>
      <c r="HE187" s="214"/>
      <c r="HF187" s="214"/>
      <c r="HG187" s="214"/>
      <c r="HH187" s="214"/>
      <c r="HI187" s="214"/>
      <c r="HJ187" s="214"/>
      <c r="HK187" s="214"/>
      <c r="HL187" s="214"/>
      <c r="HM187" s="214"/>
      <c r="HN187" s="214"/>
      <c r="HO187" s="214"/>
      <c r="HP187" s="214"/>
      <c r="HQ187" s="214"/>
      <c r="HR187" s="214"/>
      <c r="HS187" s="214"/>
      <c r="HT187" s="214"/>
      <c r="HU187" s="214"/>
      <c r="HV187" s="214"/>
      <c r="HW187" s="214"/>
      <c r="HX187" s="214"/>
      <c r="HY187" s="214"/>
      <c r="HZ187" s="214"/>
      <c r="IA187" s="214"/>
      <c r="IB187" s="214"/>
      <c r="IC187" s="214"/>
      <c r="ID187" s="214"/>
      <c r="IE187" s="214"/>
      <c r="IF187" s="214"/>
      <c r="IG187" s="214"/>
      <c r="IH187" s="214"/>
      <c r="II187" s="214"/>
      <c r="IJ187" s="214"/>
      <c r="IK187" s="214"/>
      <c r="IL187" s="214"/>
      <c r="IM187" s="214"/>
      <c r="IN187" s="214"/>
      <c r="IO187" s="214"/>
      <c r="IP187" s="214"/>
      <c r="IQ187" s="214"/>
      <c r="IR187" s="214"/>
      <c r="IS187" s="214"/>
      <c r="IT187" s="214"/>
      <c r="IU187" s="214"/>
      <c r="IV187" s="214"/>
      <c r="IW187" s="214"/>
      <c r="IX187" s="214"/>
      <c r="IY187" s="214"/>
      <c r="IZ187" s="214"/>
      <c r="JA187" s="214"/>
      <c r="JB187" s="214"/>
      <c r="JC187" s="214"/>
      <c r="JD187" s="214"/>
      <c r="JE187" s="214"/>
      <c r="JF187" s="214"/>
      <c r="JG187" s="214"/>
      <c r="JH187" s="214"/>
      <c r="JI187" s="214"/>
    </row>
    <row r="188" spans="1:269">
      <c r="A188" s="214"/>
      <c r="B188" s="214"/>
      <c r="C188" s="214"/>
      <c r="D188" s="214"/>
      <c r="E188" s="214"/>
      <c r="F188" s="214"/>
      <c r="G188" s="214"/>
      <c r="H188" s="214"/>
      <c r="I188" s="214"/>
      <c r="J188" s="214"/>
      <c r="K188" s="214"/>
      <c r="L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214"/>
      <c r="CC188" s="214"/>
      <c r="CD188" s="214"/>
      <c r="CE188" s="214"/>
      <c r="CF188" s="214"/>
      <c r="CG188" s="214"/>
      <c r="CH188" s="214"/>
      <c r="CI188" s="214"/>
      <c r="CJ188" s="214"/>
      <c r="CK188" s="214"/>
      <c r="CL188" s="214"/>
      <c r="CM188" s="214"/>
      <c r="CN188" s="214"/>
      <c r="CO188" s="214"/>
      <c r="CP188" s="214"/>
      <c r="CQ188" s="214"/>
      <c r="CR188" s="214"/>
      <c r="CS188" s="214"/>
      <c r="CT188" s="214"/>
      <c r="CU188" s="214"/>
      <c r="CV188" s="214"/>
      <c r="CW188" s="214"/>
      <c r="CX188" s="214"/>
      <c r="CY188" s="214"/>
      <c r="CZ188" s="214"/>
      <c r="DA188" s="214"/>
      <c r="DB188" s="214"/>
      <c r="DC188" s="214"/>
      <c r="DD188" s="214"/>
      <c r="DE188" s="214"/>
      <c r="DF188" s="214"/>
      <c r="DG188" s="214"/>
      <c r="DH188" s="214"/>
      <c r="DI188" s="214"/>
      <c r="DJ188" s="214"/>
      <c r="DK188" s="214"/>
      <c r="DL188" s="214"/>
      <c r="DM188" s="214"/>
      <c r="DN188" s="214"/>
      <c r="DO188" s="214"/>
      <c r="DP188" s="214"/>
      <c r="DQ188" s="214"/>
      <c r="DR188" s="214"/>
      <c r="DS188" s="214"/>
      <c r="DT188" s="214"/>
      <c r="DU188" s="214"/>
      <c r="DV188" s="214"/>
      <c r="DW188" s="214"/>
      <c r="DX188" s="214"/>
      <c r="DY188" s="214"/>
      <c r="DZ188" s="214"/>
      <c r="EA188" s="214"/>
      <c r="EB188" s="214"/>
      <c r="EC188" s="214"/>
      <c r="ED188" s="214"/>
      <c r="EE188" s="214"/>
      <c r="EF188" s="214"/>
      <c r="EG188" s="214"/>
      <c r="EH188" s="214"/>
      <c r="EI188" s="214"/>
      <c r="EJ188" s="214"/>
      <c r="EK188" s="214"/>
      <c r="EL188" s="214"/>
      <c r="EM188" s="214"/>
      <c r="EN188" s="214"/>
      <c r="EO188" s="214"/>
      <c r="EP188" s="214"/>
      <c r="EQ188" s="214"/>
      <c r="ER188" s="214"/>
      <c r="ES188" s="214"/>
      <c r="ET188" s="214"/>
      <c r="EU188" s="214"/>
      <c r="EV188" s="214"/>
      <c r="EW188" s="214"/>
      <c r="EX188" s="214"/>
      <c r="EY188" s="214"/>
      <c r="EZ188" s="214"/>
      <c r="FA188" s="214"/>
      <c r="FB188" s="214"/>
      <c r="FC188" s="214"/>
      <c r="FD188" s="214"/>
      <c r="FE188" s="214"/>
      <c r="FF188" s="214"/>
      <c r="FG188" s="214"/>
      <c r="FH188" s="214"/>
      <c r="FI188" s="214"/>
      <c r="FJ188" s="214"/>
      <c r="FK188" s="214"/>
      <c r="FL188" s="214"/>
      <c r="FM188" s="214"/>
      <c r="FN188" s="214"/>
      <c r="FO188" s="214"/>
      <c r="FP188" s="214"/>
      <c r="FQ188" s="214"/>
      <c r="FR188" s="214"/>
      <c r="FS188" s="214"/>
      <c r="FT188" s="214"/>
      <c r="FU188" s="214"/>
      <c r="FV188" s="214"/>
      <c r="FW188" s="214"/>
      <c r="FX188" s="214"/>
      <c r="FY188" s="214"/>
      <c r="FZ188" s="214"/>
      <c r="GA188" s="214"/>
      <c r="GB188" s="214"/>
      <c r="GC188" s="214"/>
      <c r="GD188" s="214"/>
      <c r="GE188" s="214"/>
      <c r="GF188" s="214"/>
      <c r="GG188" s="214"/>
      <c r="GH188" s="214"/>
      <c r="GI188" s="214"/>
      <c r="GJ188" s="214"/>
      <c r="GK188" s="214"/>
      <c r="GL188" s="214"/>
      <c r="GM188" s="214"/>
      <c r="GN188" s="214"/>
      <c r="GO188" s="214"/>
      <c r="GP188" s="214"/>
      <c r="GQ188" s="214"/>
      <c r="GR188" s="214"/>
      <c r="GS188" s="214"/>
      <c r="GT188" s="214"/>
      <c r="GU188" s="214"/>
      <c r="GV188" s="214"/>
      <c r="GW188" s="214"/>
      <c r="GX188" s="214"/>
      <c r="GY188" s="214"/>
      <c r="GZ188" s="214"/>
      <c r="HA188" s="214"/>
      <c r="HB188" s="214"/>
      <c r="HC188" s="214"/>
      <c r="HD188" s="214"/>
      <c r="HE188" s="214"/>
      <c r="HF188" s="214"/>
      <c r="HG188" s="214"/>
      <c r="HH188" s="214"/>
      <c r="HI188" s="214"/>
      <c r="HJ188" s="214"/>
      <c r="HK188" s="214"/>
      <c r="HL188" s="214"/>
      <c r="HM188" s="214"/>
      <c r="HN188" s="214"/>
      <c r="HO188" s="214"/>
      <c r="HP188" s="214"/>
      <c r="HQ188" s="214"/>
      <c r="HR188" s="214"/>
      <c r="HS188" s="214"/>
      <c r="HT188" s="214"/>
      <c r="HU188" s="214"/>
      <c r="HV188" s="214"/>
      <c r="HW188" s="214"/>
      <c r="HX188" s="214"/>
      <c r="HY188" s="214"/>
      <c r="HZ188" s="214"/>
      <c r="IA188" s="214"/>
      <c r="IB188" s="214"/>
      <c r="IC188" s="214"/>
      <c r="ID188" s="214"/>
      <c r="IE188" s="214"/>
      <c r="IF188" s="214"/>
      <c r="IG188" s="214"/>
      <c r="IH188" s="214"/>
      <c r="II188" s="214"/>
      <c r="IJ188" s="214"/>
      <c r="IK188" s="214"/>
      <c r="IL188" s="214"/>
      <c r="IM188" s="214"/>
      <c r="IN188" s="214"/>
      <c r="IO188" s="214"/>
      <c r="IP188" s="214"/>
      <c r="IQ188" s="214"/>
      <c r="IR188" s="214"/>
      <c r="IS188" s="214"/>
      <c r="IT188" s="214"/>
      <c r="IU188" s="214"/>
      <c r="IV188" s="214"/>
      <c r="IW188" s="214"/>
      <c r="IX188" s="214"/>
      <c r="IY188" s="214"/>
      <c r="IZ188" s="214"/>
      <c r="JA188" s="214"/>
      <c r="JB188" s="214"/>
      <c r="JC188" s="214"/>
      <c r="JD188" s="214"/>
      <c r="JE188" s="214"/>
      <c r="JF188" s="214"/>
      <c r="JG188" s="214"/>
      <c r="JH188" s="214"/>
      <c r="JI188" s="214"/>
    </row>
    <row r="189" spans="1:269">
      <c r="A189" s="214"/>
      <c r="B189" s="214"/>
      <c r="C189" s="214"/>
      <c r="D189" s="214"/>
      <c r="E189" s="214"/>
      <c r="F189" s="214"/>
      <c r="G189" s="214"/>
      <c r="H189" s="214"/>
      <c r="I189" s="214"/>
      <c r="J189" s="214"/>
      <c r="K189" s="214"/>
      <c r="L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c r="FW189" s="214"/>
      <c r="FX189" s="214"/>
      <c r="FY189" s="214"/>
      <c r="FZ189" s="214"/>
      <c r="GA189" s="214"/>
      <c r="GB189" s="214"/>
      <c r="GC189" s="214"/>
      <c r="GD189" s="214"/>
      <c r="GE189" s="214"/>
      <c r="GF189" s="214"/>
      <c r="GG189" s="214"/>
      <c r="GH189" s="214"/>
      <c r="GI189" s="214"/>
      <c r="GJ189" s="214"/>
      <c r="GK189" s="214"/>
      <c r="GL189" s="214"/>
      <c r="GM189" s="214"/>
      <c r="GN189" s="214"/>
      <c r="GO189" s="214"/>
      <c r="GP189" s="214"/>
      <c r="GQ189" s="214"/>
      <c r="GR189" s="214"/>
      <c r="GS189" s="214"/>
      <c r="GT189" s="214"/>
      <c r="GU189" s="214"/>
      <c r="GV189" s="214"/>
      <c r="GW189" s="214"/>
      <c r="GX189" s="214"/>
      <c r="GY189" s="214"/>
      <c r="GZ189" s="214"/>
      <c r="HA189" s="214"/>
      <c r="HB189" s="214"/>
      <c r="HC189" s="214"/>
      <c r="HD189" s="214"/>
      <c r="HE189" s="214"/>
      <c r="HF189" s="214"/>
      <c r="HG189" s="214"/>
      <c r="HH189" s="214"/>
      <c r="HI189" s="214"/>
      <c r="HJ189" s="214"/>
      <c r="HK189" s="214"/>
      <c r="HL189" s="214"/>
      <c r="HM189" s="214"/>
      <c r="HN189" s="214"/>
      <c r="HO189" s="214"/>
      <c r="HP189" s="214"/>
      <c r="HQ189" s="214"/>
      <c r="HR189" s="214"/>
      <c r="HS189" s="214"/>
      <c r="HT189" s="214"/>
      <c r="HU189" s="214"/>
      <c r="HV189" s="214"/>
      <c r="HW189" s="214"/>
      <c r="HX189" s="214"/>
      <c r="HY189" s="214"/>
      <c r="HZ189" s="214"/>
      <c r="IA189" s="214"/>
      <c r="IB189" s="214"/>
      <c r="IC189" s="214"/>
      <c r="ID189" s="214"/>
      <c r="IE189" s="214"/>
      <c r="IF189" s="214"/>
      <c r="IG189" s="214"/>
      <c r="IH189" s="214"/>
      <c r="II189" s="214"/>
      <c r="IJ189" s="214"/>
      <c r="IK189" s="214"/>
      <c r="IL189" s="214"/>
      <c r="IM189" s="214"/>
      <c r="IN189" s="214"/>
      <c r="IO189" s="214"/>
      <c r="IP189" s="214"/>
      <c r="IQ189" s="214"/>
      <c r="IR189" s="214"/>
      <c r="IS189" s="214"/>
      <c r="IT189" s="214"/>
      <c r="IU189" s="214"/>
      <c r="IV189" s="214"/>
      <c r="IW189" s="214"/>
      <c r="IX189" s="214"/>
      <c r="IY189" s="214"/>
      <c r="IZ189" s="214"/>
      <c r="JA189" s="214"/>
      <c r="JB189" s="214"/>
      <c r="JC189" s="214"/>
      <c r="JD189" s="214"/>
      <c r="JE189" s="214"/>
      <c r="JF189" s="214"/>
      <c r="JG189" s="214"/>
      <c r="JH189" s="214"/>
      <c r="JI189" s="214"/>
    </row>
    <row r="190" spans="1:269">
      <c r="A190" s="214"/>
      <c r="B190" s="214"/>
      <c r="C190" s="214"/>
      <c r="D190" s="214"/>
      <c r="E190" s="214"/>
      <c r="F190" s="214"/>
      <c r="G190" s="214"/>
      <c r="H190" s="214"/>
      <c r="I190" s="214"/>
      <c r="J190" s="214"/>
      <c r="K190" s="214"/>
      <c r="L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214"/>
      <c r="DH190" s="214"/>
      <c r="DI190" s="214"/>
      <c r="DJ190" s="214"/>
      <c r="DK190" s="214"/>
      <c r="DL190" s="214"/>
      <c r="DM190" s="214"/>
      <c r="DN190" s="214"/>
      <c r="DO190" s="214"/>
      <c r="DP190" s="214"/>
      <c r="DQ190" s="214"/>
      <c r="DR190" s="214"/>
      <c r="DS190" s="214"/>
      <c r="DT190" s="214"/>
      <c r="DU190" s="214"/>
      <c r="DV190" s="214"/>
      <c r="DW190" s="214"/>
      <c r="DX190" s="214"/>
      <c r="DY190" s="214"/>
      <c r="DZ190" s="214"/>
      <c r="EA190" s="214"/>
      <c r="EB190" s="214"/>
      <c r="EC190" s="214"/>
      <c r="ED190" s="214"/>
      <c r="EE190" s="214"/>
      <c r="EF190" s="214"/>
      <c r="EG190" s="214"/>
      <c r="EH190" s="214"/>
      <c r="EI190" s="214"/>
      <c r="EJ190" s="214"/>
      <c r="EK190" s="214"/>
      <c r="EL190" s="214"/>
      <c r="EM190" s="214"/>
      <c r="EN190" s="214"/>
      <c r="EO190" s="214"/>
      <c r="EP190" s="214"/>
      <c r="EQ190" s="214"/>
      <c r="ER190" s="214"/>
      <c r="ES190" s="214"/>
      <c r="ET190" s="214"/>
      <c r="EU190" s="214"/>
      <c r="EV190" s="214"/>
      <c r="EW190" s="214"/>
      <c r="EX190" s="214"/>
      <c r="EY190" s="214"/>
      <c r="EZ190" s="214"/>
      <c r="FA190" s="214"/>
      <c r="FB190" s="214"/>
      <c r="FC190" s="214"/>
      <c r="FD190" s="214"/>
      <c r="FE190" s="214"/>
      <c r="FF190" s="214"/>
      <c r="FG190" s="214"/>
      <c r="FH190" s="214"/>
      <c r="FI190" s="214"/>
      <c r="FJ190" s="214"/>
      <c r="FK190" s="214"/>
      <c r="FL190" s="214"/>
      <c r="FM190" s="214"/>
      <c r="FN190" s="214"/>
      <c r="FO190" s="214"/>
      <c r="FP190" s="214"/>
      <c r="FQ190" s="214"/>
      <c r="FR190" s="214"/>
      <c r="FS190" s="214"/>
      <c r="FT190" s="214"/>
      <c r="FU190" s="214"/>
      <c r="FV190" s="214"/>
      <c r="FW190" s="214"/>
      <c r="FX190" s="214"/>
      <c r="FY190" s="214"/>
      <c r="FZ190" s="214"/>
      <c r="GA190" s="214"/>
      <c r="GB190" s="214"/>
      <c r="GC190" s="214"/>
      <c r="GD190" s="214"/>
      <c r="GE190" s="214"/>
      <c r="GF190" s="214"/>
      <c r="GG190" s="214"/>
      <c r="GH190" s="214"/>
      <c r="GI190" s="214"/>
      <c r="GJ190" s="214"/>
      <c r="GK190" s="214"/>
      <c r="GL190" s="214"/>
      <c r="GM190" s="214"/>
      <c r="GN190" s="214"/>
      <c r="GO190" s="214"/>
      <c r="GP190" s="214"/>
      <c r="GQ190" s="214"/>
      <c r="GR190" s="214"/>
      <c r="GS190" s="214"/>
      <c r="GT190" s="214"/>
      <c r="GU190" s="214"/>
      <c r="GV190" s="214"/>
      <c r="GW190" s="214"/>
      <c r="GX190" s="214"/>
      <c r="GY190" s="214"/>
      <c r="GZ190" s="214"/>
      <c r="HA190" s="214"/>
      <c r="HB190" s="214"/>
      <c r="HC190" s="214"/>
      <c r="HD190" s="214"/>
      <c r="HE190" s="214"/>
      <c r="HF190" s="214"/>
      <c r="HG190" s="214"/>
      <c r="HH190" s="214"/>
      <c r="HI190" s="214"/>
      <c r="HJ190" s="214"/>
      <c r="HK190" s="214"/>
      <c r="HL190" s="214"/>
      <c r="HM190" s="214"/>
      <c r="HN190" s="214"/>
      <c r="HO190" s="214"/>
      <c r="HP190" s="214"/>
      <c r="HQ190" s="214"/>
      <c r="HR190" s="214"/>
      <c r="HS190" s="214"/>
      <c r="HT190" s="214"/>
      <c r="HU190" s="214"/>
      <c r="HV190" s="214"/>
      <c r="HW190" s="214"/>
      <c r="HX190" s="214"/>
      <c r="HY190" s="214"/>
      <c r="HZ190" s="214"/>
      <c r="IA190" s="214"/>
      <c r="IB190" s="214"/>
      <c r="IC190" s="214"/>
      <c r="ID190" s="214"/>
      <c r="IE190" s="214"/>
      <c r="IF190" s="214"/>
      <c r="IG190" s="214"/>
      <c r="IH190" s="214"/>
      <c r="II190" s="214"/>
      <c r="IJ190" s="214"/>
      <c r="IK190" s="214"/>
      <c r="IL190" s="214"/>
      <c r="IM190" s="214"/>
      <c r="IN190" s="214"/>
      <c r="IO190" s="214"/>
      <c r="IP190" s="214"/>
      <c r="IQ190" s="214"/>
      <c r="IR190" s="214"/>
      <c r="IS190" s="214"/>
      <c r="IT190" s="214"/>
      <c r="IU190" s="214"/>
      <c r="IV190" s="214"/>
      <c r="IW190" s="214"/>
      <c r="IX190" s="214"/>
      <c r="IY190" s="214"/>
      <c r="IZ190" s="214"/>
      <c r="JA190" s="214"/>
      <c r="JB190" s="214"/>
      <c r="JC190" s="214"/>
      <c r="JD190" s="214"/>
      <c r="JE190" s="214"/>
      <c r="JF190" s="214"/>
      <c r="JG190" s="214"/>
      <c r="JH190" s="214"/>
      <c r="JI190" s="214"/>
    </row>
    <row r="191" spans="1:269">
      <c r="A191" s="214"/>
      <c r="B191" s="214"/>
      <c r="C191" s="214"/>
      <c r="D191" s="214"/>
      <c r="E191" s="214"/>
      <c r="F191" s="214"/>
      <c r="G191" s="214"/>
      <c r="H191" s="214"/>
      <c r="I191" s="214"/>
      <c r="J191" s="214"/>
      <c r="K191" s="214"/>
      <c r="L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214"/>
      <c r="DH191" s="214"/>
      <c r="DI191" s="214"/>
      <c r="DJ191" s="214"/>
      <c r="DK191" s="214"/>
      <c r="DL191" s="214"/>
      <c r="DM191" s="214"/>
      <c r="DN191" s="214"/>
      <c r="DO191" s="214"/>
      <c r="DP191" s="214"/>
      <c r="DQ191" s="214"/>
      <c r="DR191" s="214"/>
      <c r="DS191" s="214"/>
      <c r="DT191" s="214"/>
      <c r="DU191" s="214"/>
      <c r="DV191" s="214"/>
      <c r="DW191" s="214"/>
      <c r="DX191" s="214"/>
      <c r="DY191" s="214"/>
      <c r="DZ191" s="214"/>
      <c r="EA191" s="214"/>
      <c r="EB191" s="214"/>
      <c r="EC191" s="214"/>
      <c r="ED191" s="214"/>
      <c r="EE191" s="214"/>
      <c r="EF191" s="214"/>
      <c r="EG191" s="214"/>
      <c r="EH191" s="214"/>
      <c r="EI191" s="214"/>
      <c r="EJ191" s="214"/>
      <c r="EK191" s="214"/>
      <c r="EL191" s="214"/>
      <c r="EM191" s="214"/>
      <c r="EN191" s="214"/>
      <c r="EO191" s="214"/>
      <c r="EP191" s="214"/>
      <c r="EQ191" s="214"/>
      <c r="ER191" s="214"/>
      <c r="ES191" s="214"/>
      <c r="ET191" s="214"/>
      <c r="EU191" s="214"/>
      <c r="EV191" s="214"/>
      <c r="EW191" s="214"/>
      <c r="EX191" s="214"/>
      <c r="EY191" s="214"/>
      <c r="EZ191" s="214"/>
      <c r="FA191" s="214"/>
      <c r="FB191" s="214"/>
      <c r="FC191" s="214"/>
      <c r="FD191" s="214"/>
      <c r="FE191" s="214"/>
      <c r="FF191" s="214"/>
      <c r="FG191" s="214"/>
      <c r="FH191" s="214"/>
      <c r="FI191" s="214"/>
      <c r="FJ191" s="214"/>
      <c r="FK191" s="214"/>
      <c r="FL191" s="214"/>
      <c r="FM191" s="214"/>
      <c r="FN191" s="214"/>
      <c r="FO191" s="214"/>
      <c r="FP191" s="214"/>
      <c r="FQ191" s="214"/>
      <c r="FR191" s="214"/>
      <c r="FS191" s="214"/>
      <c r="FT191" s="214"/>
      <c r="FU191" s="214"/>
      <c r="FV191" s="214"/>
      <c r="FW191" s="214"/>
      <c r="FX191" s="214"/>
      <c r="FY191" s="214"/>
      <c r="FZ191" s="214"/>
      <c r="GA191" s="214"/>
      <c r="GB191" s="214"/>
      <c r="GC191" s="214"/>
      <c r="GD191" s="214"/>
      <c r="GE191" s="214"/>
      <c r="GF191" s="214"/>
      <c r="GG191" s="214"/>
      <c r="GH191" s="214"/>
      <c r="GI191" s="214"/>
      <c r="GJ191" s="214"/>
      <c r="GK191" s="214"/>
      <c r="GL191" s="214"/>
      <c r="GM191" s="214"/>
      <c r="GN191" s="214"/>
      <c r="GO191" s="214"/>
      <c r="GP191" s="214"/>
      <c r="GQ191" s="214"/>
      <c r="GR191" s="214"/>
      <c r="GS191" s="214"/>
      <c r="GT191" s="214"/>
      <c r="GU191" s="214"/>
      <c r="GV191" s="214"/>
      <c r="GW191" s="214"/>
      <c r="GX191" s="214"/>
      <c r="GY191" s="214"/>
      <c r="GZ191" s="214"/>
      <c r="HA191" s="214"/>
      <c r="HB191" s="214"/>
      <c r="HC191" s="214"/>
      <c r="HD191" s="214"/>
      <c r="HE191" s="214"/>
      <c r="HF191" s="214"/>
      <c r="HG191" s="214"/>
      <c r="HH191" s="214"/>
      <c r="HI191" s="214"/>
      <c r="HJ191" s="214"/>
      <c r="HK191" s="214"/>
      <c r="HL191" s="214"/>
      <c r="HM191" s="214"/>
      <c r="HN191" s="214"/>
      <c r="HO191" s="214"/>
      <c r="HP191" s="214"/>
      <c r="HQ191" s="214"/>
      <c r="HR191" s="214"/>
      <c r="HS191" s="214"/>
      <c r="HT191" s="214"/>
      <c r="HU191" s="214"/>
      <c r="HV191" s="214"/>
      <c r="HW191" s="214"/>
      <c r="HX191" s="214"/>
      <c r="HY191" s="214"/>
      <c r="HZ191" s="214"/>
      <c r="IA191" s="214"/>
      <c r="IB191" s="214"/>
      <c r="IC191" s="214"/>
      <c r="ID191" s="214"/>
      <c r="IE191" s="214"/>
      <c r="IF191" s="214"/>
      <c r="IG191" s="214"/>
      <c r="IH191" s="214"/>
      <c r="II191" s="214"/>
      <c r="IJ191" s="214"/>
      <c r="IK191" s="214"/>
      <c r="IL191" s="214"/>
      <c r="IM191" s="214"/>
      <c r="IN191" s="214"/>
      <c r="IO191" s="214"/>
      <c r="IP191" s="214"/>
      <c r="IQ191" s="214"/>
      <c r="IR191" s="214"/>
      <c r="IS191" s="214"/>
      <c r="IT191" s="214"/>
      <c r="IU191" s="214"/>
      <c r="IV191" s="214"/>
      <c r="IW191" s="214"/>
      <c r="IX191" s="214"/>
      <c r="IY191" s="214"/>
      <c r="IZ191" s="214"/>
      <c r="JA191" s="214"/>
      <c r="JB191" s="214"/>
      <c r="JC191" s="214"/>
      <c r="JD191" s="214"/>
      <c r="JE191" s="214"/>
      <c r="JF191" s="214"/>
      <c r="JG191" s="214"/>
      <c r="JH191" s="214"/>
      <c r="JI191" s="214"/>
    </row>
    <row r="192" spans="1:269">
      <c r="A192" s="214"/>
      <c r="B192" s="214"/>
      <c r="C192" s="214"/>
      <c r="D192" s="214"/>
      <c r="E192" s="214"/>
      <c r="F192" s="214"/>
      <c r="G192" s="214"/>
      <c r="H192" s="214"/>
      <c r="I192" s="214"/>
      <c r="J192" s="214"/>
      <c r="K192" s="214"/>
      <c r="L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214"/>
      <c r="DH192" s="214"/>
      <c r="DI192" s="214"/>
      <c r="DJ192" s="214"/>
      <c r="DK192" s="214"/>
      <c r="DL192" s="214"/>
      <c r="DM192" s="214"/>
      <c r="DN192" s="214"/>
      <c r="DO192" s="214"/>
      <c r="DP192" s="214"/>
      <c r="DQ192" s="214"/>
      <c r="DR192" s="214"/>
      <c r="DS192" s="214"/>
      <c r="DT192" s="214"/>
      <c r="DU192" s="214"/>
      <c r="DV192" s="214"/>
      <c r="DW192" s="214"/>
      <c r="DX192" s="214"/>
      <c r="DY192" s="214"/>
      <c r="DZ192" s="214"/>
      <c r="EA192" s="214"/>
      <c r="EB192" s="214"/>
      <c r="EC192" s="214"/>
      <c r="ED192" s="214"/>
      <c r="EE192" s="214"/>
      <c r="EF192" s="214"/>
      <c r="EG192" s="214"/>
      <c r="EH192" s="214"/>
      <c r="EI192" s="214"/>
      <c r="EJ192" s="214"/>
      <c r="EK192" s="214"/>
      <c r="EL192" s="214"/>
      <c r="EM192" s="214"/>
      <c r="EN192" s="214"/>
      <c r="EO192" s="214"/>
      <c r="EP192" s="214"/>
      <c r="EQ192" s="214"/>
      <c r="ER192" s="214"/>
      <c r="ES192" s="214"/>
      <c r="ET192" s="214"/>
      <c r="EU192" s="214"/>
      <c r="EV192" s="214"/>
      <c r="EW192" s="214"/>
      <c r="EX192" s="214"/>
      <c r="EY192" s="214"/>
      <c r="EZ192" s="214"/>
      <c r="FA192" s="214"/>
      <c r="FB192" s="214"/>
      <c r="FC192" s="214"/>
      <c r="FD192" s="214"/>
      <c r="FE192" s="214"/>
      <c r="FF192" s="214"/>
      <c r="FG192" s="214"/>
      <c r="FH192" s="214"/>
      <c r="FI192" s="214"/>
      <c r="FJ192" s="214"/>
      <c r="FK192" s="214"/>
      <c r="FL192" s="214"/>
      <c r="FM192" s="214"/>
      <c r="FN192" s="214"/>
      <c r="FO192" s="214"/>
      <c r="FP192" s="214"/>
      <c r="FQ192" s="214"/>
      <c r="FR192" s="214"/>
      <c r="FS192" s="214"/>
      <c r="FT192" s="214"/>
      <c r="FU192" s="214"/>
      <c r="FV192" s="214"/>
      <c r="FW192" s="214"/>
      <c r="FX192" s="214"/>
      <c r="FY192" s="214"/>
      <c r="FZ192" s="214"/>
      <c r="GA192" s="214"/>
      <c r="GB192" s="214"/>
      <c r="GC192" s="214"/>
      <c r="GD192" s="214"/>
      <c r="GE192" s="214"/>
      <c r="GF192" s="214"/>
      <c r="GG192" s="214"/>
      <c r="GH192" s="214"/>
      <c r="GI192" s="214"/>
      <c r="GJ192" s="214"/>
      <c r="GK192" s="214"/>
      <c r="GL192" s="214"/>
      <c r="GM192" s="214"/>
      <c r="GN192" s="214"/>
      <c r="GO192" s="214"/>
      <c r="GP192" s="214"/>
      <c r="GQ192" s="214"/>
      <c r="GR192" s="214"/>
      <c r="GS192" s="214"/>
      <c r="GT192" s="214"/>
      <c r="GU192" s="214"/>
      <c r="GV192" s="214"/>
      <c r="GW192" s="214"/>
      <c r="GX192" s="214"/>
      <c r="GY192" s="214"/>
      <c r="GZ192" s="214"/>
      <c r="HA192" s="214"/>
      <c r="HB192" s="214"/>
      <c r="HC192" s="214"/>
      <c r="HD192" s="214"/>
      <c r="HE192" s="214"/>
      <c r="HF192" s="214"/>
      <c r="HG192" s="214"/>
      <c r="HH192" s="214"/>
      <c r="HI192" s="214"/>
      <c r="HJ192" s="214"/>
      <c r="HK192" s="214"/>
      <c r="HL192" s="214"/>
      <c r="HM192" s="214"/>
      <c r="HN192" s="214"/>
      <c r="HO192" s="214"/>
      <c r="HP192" s="214"/>
      <c r="HQ192" s="214"/>
      <c r="HR192" s="214"/>
      <c r="HS192" s="214"/>
      <c r="HT192" s="214"/>
      <c r="HU192" s="214"/>
      <c r="HV192" s="214"/>
      <c r="HW192" s="214"/>
      <c r="HX192" s="214"/>
      <c r="HY192" s="214"/>
      <c r="HZ192" s="214"/>
      <c r="IA192" s="214"/>
      <c r="IB192" s="214"/>
      <c r="IC192" s="214"/>
      <c r="ID192" s="214"/>
      <c r="IE192" s="214"/>
      <c r="IF192" s="214"/>
      <c r="IG192" s="214"/>
      <c r="IH192" s="214"/>
      <c r="II192" s="214"/>
      <c r="IJ192" s="214"/>
      <c r="IK192" s="214"/>
      <c r="IL192" s="214"/>
      <c r="IM192" s="214"/>
      <c r="IN192" s="214"/>
      <c r="IO192" s="214"/>
      <c r="IP192" s="214"/>
      <c r="IQ192" s="214"/>
      <c r="IR192" s="214"/>
      <c r="IS192" s="214"/>
      <c r="IT192" s="214"/>
      <c r="IU192" s="214"/>
      <c r="IV192" s="214"/>
      <c r="IW192" s="214"/>
      <c r="IX192" s="214"/>
      <c r="IY192" s="214"/>
      <c r="IZ192" s="214"/>
      <c r="JA192" s="214"/>
      <c r="JB192" s="214"/>
      <c r="JC192" s="214"/>
      <c r="JD192" s="214"/>
      <c r="JE192" s="214"/>
      <c r="JF192" s="214"/>
      <c r="JG192" s="214"/>
      <c r="JH192" s="214"/>
      <c r="JI192" s="214"/>
    </row>
    <row r="193" spans="1:269">
      <c r="A193" s="214"/>
      <c r="B193" s="214"/>
      <c r="C193" s="214"/>
      <c r="D193" s="214"/>
      <c r="E193" s="214"/>
      <c r="F193" s="214"/>
      <c r="G193" s="214"/>
      <c r="H193" s="214"/>
      <c r="I193" s="214"/>
      <c r="J193" s="214"/>
      <c r="K193" s="214"/>
      <c r="L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214"/>
      <c r="CC193" s="214"/>
      <c r="CD193" s="214"/>
      <c r="CE193" s="214"/>
      <c r="CF193" s="214"/>
      <c r="CG193" s="214"/>
      <c r="CH193" s="214"/>
      <c r="CI193" s="214"/>
      <c r="CJ193" s="214"/>
      <c r="CK193" s="214"/>
      <c r="CL193" s="214"/>
      <c r="CM193" s="214"/>
      <c r="CN193" s="214"/>
      <c r="CO193" s="214"/>
      <c r="CP193" s="214"/>
      <c r="CQ193" s="214"/>
      <c r="CR193" s="214"/>
      <c r="CS193" s="214"/>
      <c r="CT193" s="214"/>
      <c r="CU193" s="214"/>
      <c r="CV193" s="214"/>
      <c r="CW193" s="214"/>
      <c r="CX193" s="214"/>
      <c r="CY193" s="214"/>
      <c r="CZ193" s="214"/>
      <c r="DA193" s="214"/>
      <c r="DB193" s="214"/>
      <c r="DC193" s="214"/>
      <c r="DD193" s="214"/>
      <c r="DE193" s="214"/>
      <c r="DF193" s="214"/>
      <c r="DG193" s="214"/>
      <c r="DH193" s="214"/>
      <c r="DI193" s="214"/>
      <c r="DJ193" s="214"/>
      <c r="DK193" s="214"/>
      <c r="DL193" s="214"/>
      <c r="DM193" s="214"/>
      <c r="DN193" s="214"/>
      <c r="DO193" s="214"/>
      <c r="DP193" s="214"/>
      <c r="DQ193" s="214"/>
      <c r="DR193" s="214"/>
      <c r="DS193" s="214"/>
      <c r="DT193" s="214"/>
      <c r="DU193" s="214"/>
      <c r="DV193" s="214"/>
      <c r="DW193" s="214"/>
      <c r="DX193" s="214"/>
      <c r="DY193" s="214"/>
      <c r="DZ193" s="214"/>
      <c r="EA193" s="214"/>
      <c r="EB193" s="214"/>
      <c r="EC193" s="214"/>
      <c r="ED193" s="214"/>
      <c r="EE193" s="214"/>
      <c r="EF193" s="214"/>
      <c r="EG193" s="214"/>
      <c r="EH193" s="214"/>
      <c r="EI193" s="214"/>
      <c r="EJ193" s="214"/>
      <c r="EK193" s="214"/>
      <c r="EL193" s="214"/>
      <c r="EM193" s="214"/>
      <c r="EN193" s="214"/>
      <c r="EO193" s="214"/>
      <c r="EP193" s="214"/>
      <c r="EQ193" s="214"/>
      <c r="ER193" s="214"/>
      <c r="ES193" s="214"/>
      <c r="ET193" s="214"/>
      <c r="EU193" s="214"/>
      <c r="EV193" s="214"/>
      <c r="EW193" s="214"/>
      <c r="EX193" s="214"/>
      <c r="EY193" s="214"/>
      <c r="EZ193" s="214"/>
      <c r="FA193" s="214"/>
      <c r="FB193" s="214"/>
      <c r="FC193" s="214"/>
      <c r="FD193" s="214"/>
      <c r="FE193" s="214"/>
      <c r="FF193" s="214"/>
      <c r="FG193" s="214"/>
      <c r="FH193" s="214"/>
      <c r="FI193" s="214"/>
      <c r="FJ193" s="214"/>
      <c r="FK193" s="214"/>
      <c r="FL193" s="214"/>
      <c r="FM193" s="214"/>
      <c r="FN193" s="214"/>
      <c r="FO193" s="214"/>
      <c r="FP193" s="214"/>
      <c r="FQ193" s="214"/>
      <c r="FR193" s="214"/>
      <c r="FS193" s="214"/>
      <c r="FT193" s="214"/>
      <c r="FU193" s="214"/>
      <c r="FV193" s="214"/>
      <c r="FW193" s="214"/>
      <c r="FX193" s="214"/>
      <c r="FY193" s="214"/>
      <c r="FZ193" s="214"/>
      <c r="GA193" s="214"/>
      <c r="GB193" s="214"/>
      <c r="GC193" s="214"/>
      <c r="GD193" s="214"/>
      <c r="GE193" s="214"/>
      <c r="GF193" s="214"/>
      <c r="GG193" s="214"/>
      <c r="GH193" s="214"/>
      <c r="GI193" s="214"/>
      <c r="GJ193" s="214"/>
      <c r="GK193" s="214"/>
      <c r="GL193" s="214"/>
      <c r="GM193" s="214"/>
      <c r="GN193" s="214"/>
      <c r="GO193" s="214"/>
      <c r="GP193" s="214"/>
      <c r="GQ193" s="214"/>
      <c r="GR193" s="214"/>
      <c r="GS193" s="214"/>
      <c r="GT193" s="214"/>
      <c r="GU193" s="214"/>
      <c r="GV193" s="214"/>
      <c r="GW193" s="214"/>
      <c r="GX193" s="214"/>
      <c r="GY193" s="214"/>
      <c r="GZ193" s="214"/>
      <c r="HA193" s="214"/>
      <c r="HB193" s="214"/>
      <c r="HC193" s="214"/>
      <c r="HD193" s="214"/>
      <c r="HE193" s="214"/>
      <c r="HF193" s="214"/>
      <c r="HG193" s="214"/>
      <c r="HH193" s="214"/>
      <c r="HI193" s="214"/>
      <c r="HJ193" s="214"/>
      <c r="HK193" s="214"/>
      <c r="HL193" s="214"/>
      <c r="HM193" s="214"/>
      <c r="HN193" s="214"/>
      <c r="HO193" s="214"/>
      <c r="HP193" s="214"/>
      <c r="HQ193" s="214"/>
      <c r="HR193" s="214"/>
      <c r="HS193" s="214"/>
      <c r="HT193" s="214"/>
      <c r="HU193" s="214"/>
      <c r="HV193" s="214"/>
      <c r="HW193" s="214"/>
      <c r="HX193" s="214"/>
      <c r="HY193" s="214"/>
      <c r="HZ193" s="214"/>
      <c r="IA193" s="214"/>
      <c r="IB193" s="214"/>
      <c r="IC193" s="214"/>
      <c r="ID193" s="214"/>
      <c r="IE193" s="214"/>
      <c r="IF193" s="214"/>
      <c r="IG193" s="214"/>
      <c r="IH193" s="214"/>
      <c r="II193" s="214"/>
      <c r="IJ193" s="214"/>
      <c r="IK193" s="214"/>
      <c r="IL193" s="214"/>
      <c r="IM193" s="214"/>
      <c r="IN193" s="214"/>
      <c r="IO193" s="214"/>
      <c r="IP193" s="214"/>
      <c r="IQ193" s="214"/>
      <c r="IR193" s="214"/>
      <c r="IS193" s="214"/>
      <c r="IT193" s="214"/>
      <c r="IU193" s="214"/>
      <c r="IV193" s="214"/>
      <c r="IW193" s="214"/>
      <c r="IX193" s="214"/>
      <c r="IY193" s="214"/>
      <c r="IZ193" s="214"/>
      <c r="JA193" s="214"/>
      <c r="JB193" s="214"/>
      <c r="JC193" s="214"/>
      <c r="JD193" s="214"/>
      <c r="JE193" s="214"/>
      <c r="JF193" s="214"/>
      <c r="JG193" s="214"/>
      <c r="JH193" s="214"/>
      <c r="JI193" s="214"/>
    </row>
  </sheetData>
  <pageMargins left="0.23622047244094491" right="0.23622047244094491"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47"/>
  <sheetViews>
    <sheetView zoomScaleNormal="100" workbookViewId="0">
      <selection activeCell="B12" sqref="B12"/>
    </sheetView>
  </sheetViews>
  <sheetFormatPr defaultRowHeight="15"/>
  <cols>
    <col min="1" max="1" width="10.33203125" customWidth="1"/>
    <col min="4" max="4" width="13.21875" customWidth="1"/>
  </cols>
  <sheetData>
    <row r="1" spans="1:63" ht="15.75">
      <c r="A1" s="11" t="s">
        <v>581</v>
      </c>
    </row>
    <row r="2" spans="1:63" ht="15.75">
      <c r="A2" s="876"/>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row>
    <row r="3" spans="1:63" ht="15.75">
      <c r="A3" s="246" t="e">
        <f>#REF!</f>
        <v>#REF!</v>
      </c>
      <c r="B3" s="85"/>
      <c r="C3" s="85"/>
      <c r="D3" s="85"/>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row>
    <row r="4" spans="1:63" ht="15.75">
      <c r="A4" s="85"/>
      <c r="B4" s="85"/>
      <c r="C4" s="85"/>
      <c r="D4" s="85"/>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row>
    <row r="5" spans="1:63" ht="15.75">
      <c r="A5" s="105"/>
      <c r="B5" s="103" t="s">
        <v>62</v>
      </c>
      <c r="C5" s="103" t="s">
        <v>465</v>
      </c>
      <c r="D5" s="201" t="s">
        <v>582</v>
      </c>
      <c r="E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row>
    <row r="6" spans="1:63" ht="15.75">
      <c r="A6" s="149" t="s">
        <v>93</v>
      </c>
      <c r="B6" s="93">
        <f>'Kultur data'!D14</f>
        <v>7857.16</v>
      </c>
      <c r="C6" s="93">
        <v>0</v>
      </c>
      <c r="D6" s="241">
        <f t="shared" ref="D6:D21" si="0">C6+B6</f>
        <v>7857.16</v>
      </c>
      <c r="E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row>
    <row r="7" spans="1:63" ht="15.75">
      <c r="A7" s="149" t="s">
        <v>94</v>
      </c>
      <c r="B7" s="93">
        <f>'Kultur data'!D15</f>
        <v>16975.78</v>
      </c>
      <c r="C7" s="93">
        <v>0</v>
      </c>
      <c r="D7" s="241">
        <f t="shared" si="0"/>
        <v>16975.78</v>
      </c>
      <c r="E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row>
    <row r="8" spans="1:63" ht="15.75">
      <c r="A8" s="149" t="s">
        <v>95</v>
      </c>
      <c r="B8" s="93">
        <f>'Kultur data'!D16</f>
        <v>47034.81</v>
      </c>
      <c r="C8" s="93">
        <v>0</v>
      </c>
      <c r="D8" s="241">
        <f t="shared" si="0"/>
        <v>47034.81</v>
      </c>
      <c r="E8" s="876"/>
      <c r="G8" s="876"/>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row>
    <row r="9" spans="1:63" ht="15.75">
      <c r="A9" s="149" t="s">
        <v>96</v>
      </c>
      <c r="B9" s="93">
        <f>'Kultur data'!D17</f>
        <v>9172.69</v>
      </c>
      <c r="C9" s="93">
        <v>0</v>
      </c>
      <c r="D9" s="241">
        <f t="shared" si="0"/>
        <v>9172.69</v>
      </c>
      <c r="E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row>
    <row r="10" spans="1:63" ht="15.75">
      <c r="A10" s="149" t="s">
        <v>97</v>
      </c>
      <c r="B10" s="93">
        <f>'Kultur data'!D18</f>
        <v>9172.69</v>
      </c>
      <c r="C10" s="93">
        <v>0</v>
      </c>
      <c r="D10" s="241">
        <f t="shared" si="0"/>
        <v>9172.69</v>
      </c>
      <c r="E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row>
    <row r="11" spans="1:63" ht="15.75">
      <c r="A11" s="149" t="s">
        <v>98</v>
      </c>
      <c r="B11" s="93">
        <f>'Kultur data'!D19</f>
        <v>29662.57</v>
      </c>
      <c r="C11" s="93">
        <v>0</v>
      </c>
      <c r="D11" s="241">
        <f t="shared" si="0"/>
        <v>29662.57</v>
      </c>
      <c r="E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row>
    <row r="12" spans="1:63" ht="15.75">
      <c r="A12" s="149" t="s">
        <v>99</v>
      </c>
      <c r="B12" s="93">
        <f>'Kultur data'!D20</f>
        <v>102665.64</v>
      </c>
      <c r="C12" s="93">
        <v>0</v>
      </c>
      <c r="D12" s="241">
        <f t="shared" si="0"/>
        <v>102665.64</v>
      </c>
      <c r="E12" s="876"/>
      <c r="G12" s="876"/>
      <c r="H12" s="876"/>
      <c r="I12" s="876"/>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row>
    <row r="13" spans="1:63" ht="15.75">
      <c r="A13" s="149" t="s">
        <v>100</v>
      </c>
      <c r="B13" s="93">
        <f>'Kultur data'!D21</f>
        <v>5226.09</v>
      </c>
      <c r="C13" s="93">
        <v>0</v>
      </c>
      <c r="D13" s="241">
        <f t="shared" si="0"/>
        <v>5226.09</v>
      </c>
      <c r="E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row>
    <row r="14" spans="1:63" ht="15.75">
      <c r="A14" s="149" t="s">
        <v>101</v>
      </c>
      <c r="B14" s="93">
        <f>'Kultur data'!D22</f>
        <v>4054.73</v>
      </c>
      <c r="C14" s="93">
        <v>0</v>
      </c>
      <c r="D14" s="241">
        <f t="shared" si="0"/>
        <v>4054.73</v>
      </c>
      <c r="E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row>
    <row r="15" spans="1:63" ht="15.75">
      <c r="A15" s="149" t="s">
        <v>102</v>
      </c>
      <c r="B15" s="93">
        <f>'Kultur data'!D23</f>
        <v>38330.67</v>
      </c>
      <c r="C15" s="93">
        <v>0</v>
      </c>
      <c r="D15" s="241">
        <f t="shared" si="0"/>
        <v>38330.67</v>
      </c>
      <c r="E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row>
    <row r="16" spans="1:63" ht="15.75">
      <c r="A16" s="149" t="s">
        <v>103</v>
      </c>
      <c r="B16" s="93">
        <f>'Kultur data'!D24</f>
        <v>6595.69</v>
      </c>
      <c r="C16" s="93">
        <v>0</v>
      </c>
      <c r="D16" s="241">
        <f t="shared" si="0"/>
        <v>6595.69</v>
      </c>
      <c r="E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row>
    <row r="17" spans="1:63" ht="15.75">
      <c r="A17" s="149" t="s">
        <v>104</v>
      </c>
      <c r="B17" s="93">
        <f>'Kultur data'!D25</f>
        <v>32275.61</v>
      </c>
      <c r="C17" s="93">
        <v>0</v>
      </c>
      <c r="D17" s="241">
        <f t="shared" si="0"/>
        <v>32275.61</v>
      </c>
      <c r="E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row>
    <row r="18" spans="1:63" ht="15.75">
      <c r="A18" s="149" t="s">
        <v>105</v>
      </c>
      <c r="B18" s="93">
        <f>'Kultur data'!D26</f>
        <v>2072.42</v>
      </c>
      <c r="C18" s="93">
        <v>0</v>
      </c>
      <c r="D18" s="241">
        <f t="shared" si="0"/>
        <v>2072.42</v>
      </c>
      <c r="E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row>
    <row r="19" spans="1:63" ht="15.75">
      <c r="A19" s="149" t="s">
        <v>106</v>
      </c>
      <c r="B19" s="93">
        <f>'Kultur data'!D27</f>
        <v>17930.900000000001</v>
      </c>
      <c r="C19" s="93">
        <v>0</v>
      </c>
      <c r="D19" s="241">
        <f t="shared" si="0"/>
        <v>17930.900000000001</v>
      </c>
      <c r="E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row>
    <row r="20" spans="1:63" ht="15.75">
      <c r="A20" s="149" t="s">
        <v>107</v>
      </c>
      <c r="B20" s="93">
        <f>'Kultur data'!D28</f>
        <v>8487.89</v>
      </c>
      <c r="C20" s="93">
        <v>0</v>
      </c>
      <c r="D20" s="241">
        <f t="shared" si="0"/>
        <v>8487.89</v>
      </c>
      <c r="E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row>
    <row r="21" spans="1:63" ht="15.75">
      <c r="A21" s="149" t="s">
        <v>108</v>
      </c>
      <c r="B21" s="94">
        <f>'Kultur data'!D29</f>
        <v>212864.05</v>
      </c>
      <c r="C21" s="94">
        <f>'Kultur data'!E30</f>
        <v>0</v>
      </c>
      <c r="D21" s="243">
        <f t="shared" si="0"/>
        <v>212864.05</v>
      </c>
      <c r="E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row>
    <row r="22" spans="1:63" ht="15.75">
      <c r="A22" s="208" t="s">
        <v>109</v>
      </c>
      <c r="B22" s="97">
        <f>SUM(B6:B21)</f>
        <v>550379.39</v>
      </c>
      <c r="C22" s="247">
        <f>SUM(C6:C21)</f>
        <v>0</v>
      </c>
      <c r="D22" s="245">
        <f>SUM(D6:D21)</f>
        <v>550379.39</v>
      </c>
      <c r="E22" s="882"/>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row>
    <row r="23" spans="1:63" ht="15.75">
      <c r="A23" s="85"/>
      <c r="B23" s="85"/>
      <c r="C23" s="85"/>
      <c r="D23" s="85"/>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row>
    <row r="24" spans="1:63" ht="15.75">
      <c r="A24" s="85"/>
      <c r="B24" s="85"/>
      <c r="C24" s="85"/>
      <c r="D24" s="85"/>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row>
    <row r="25" spans="1:63" ht="15.75">
      <c r="A25" s="248" t="s">
        <v>583</v>
      </c>
      <c r="B25" s="85"/>
      <c r="C25" s="85"/>
      <c r="D25" s="85"/>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row>
    <row r="26" spans="1:63" ht="15.75">
      <c r="A26" s="876"/>
      <c r="B26" s="876"/>
      <c r="C26" s="876"/>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row>
    <row r="27" spans="1:63" ht="15.75">
      <c r="A27" s="876"/>
      <c r="B27" s="876"/>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row>
    <row r="28" spans="1:63" ht="15.75">
      <c r="A28" s="876"/>
      <c r="B28" s="876"/>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row>
    <row r="29" spans="1:63" ht="15.75">
      <c r="A29" s="876"/>
      <c r="B29" s="876"/>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row>
    <row r="30" spans="1:63" ht="15.75">
      <c r="A30" s="876"/>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row>
    <row r="31" spans="1:63" ht="15.75">
      <c r="A31" s="876"/>
      <c r="B31" s="876"/>
      <c r="C31" s="876"/>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row>
    <row r="32" spans="1:63" ht="15.75">
      <c r="A32" s="876"/>
      <c r="B32" s="876"/>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row>
    <row r="33" spans="1:63" ht="15.75">
      <c r="A33" s="876"/>
      <c r="B33" s="876"/>
      <c r="C33" s="876"/>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row>
    <row r="34" spans="1:63" ht="15.75">
      <c r="A34" s="876"/>
      <c r="B34" s="876"/>
      <c r="C34" s="876"/>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row>
    <row r="35" spans="1:63" ht="15.75">
      <c r="A35" s="876"/>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row>
    <row r="36" spans="1:63" ht="15.75">
      <c r="A36" s="876"/>
      <c r="B36" s="876"/>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row>
    <row r="37" spans="1:63" ht="15.75">
      <c r="A37" s="876"/>
      <c r="B37" s="876"/>
      <c r="C37" s="876"/>
      <c r="D37" s="876"/>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row>
    <row r="38" spans="1:63" ht="15.75">
      <c r="A38" s="876"/>
      <c r="B38" s="876"/>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row>
    <row r="39" spans="1:63" ht="15.75">
      <c r="A39" s="876"/>
      <c r="B39" s="876"/>
      <c r="C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row>
    <row r="40" spans="1:63" ht="15.75">
      <c r="A40" s="876"/>
      <c r="B40" s="876"/>
      <c r="C40" s="876"/>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row>
    <row r="41" spans="1:63" ht="15.75">
      <c r="A41" s="876"/>
      <c r="B41" s="876"/>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row>
    <row r="42" spans="1:63" ht="15.75">
      <c r="A42" s="876"/>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6"/>
      <c r="BE42" s="876"/>
      <c r="BF42" s="876"/>
      <c r="BG42" s="876"/>
      <c r="BH42" s="876"/>
      <c r="BI42" s="876"/>
      <c r="BJ42" s="876"/>
      <c r="BK42" s="876"/>
    </row>
    <row r="43" spans="1:63" ht="15.75">
      <c r="A43" s="876"/>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row>
    <row r="44" spans="1:63" ht="15.75">
      <c r="A44" s="876"/>
      <c r="B44" s="876"/>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c r="AR44" s="876"/>
      <c r="AS44" s="876"/>
      <c r="AT44" s="876"/>
      <c r="AU44" s="876"/>
      <c r="AV44" s="876"/>
      <c r="AW44" s="876"/>
      <c r="AX44" s="876"/>
      <c r="AY44" s="876"/>
      <c r="AZ44" s="876"/>
      <c r="BA44" s="876"/>
      <c r="BB44" s="876"/>
      <c r="BC44" s="876"/>
      <c r="BD44" s="876"/>
      <c r="BE44" s="876"/>
      <c r="BF44" s="876"/>
      <c r="BG44" s="876"/>
      <c r="BH44" s="876"/>
      <c r="BI44" s="876"/>
      <c r="BJ44" s="876"/>
      <c r="BK44" s="876"/>
    </row>
    <row r="45" spans="1:63" ht="15.75">
      <c r="A45" s="876"/>
      <c r="B45" s="876"/>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76"/>
      <c r="AX45" s="876"/>
      <c r="AY45" s="876"/>
      <c r="AZ45" s="876"/>
      <c r="BA45" s="876"/>
      <c r="BB45" s="876"/>
      <c r="BC45" s="876"/>
      <c r="BD45" s="876"/>
      <c r="BE45" s="876"/>
      <c r="BF45" s="876"/>
      <c r="BG45" s="876"/>
      <c r="BH45" s="876"/>
      <c r="BI45" s="876"/>
      <c r="BJ45" s="876"/>
      <c r="BK45" s="876"/>
    </row>
    <row r="46" spans="1:63" ht="15.75">
      <c r="A46" s="876"/>
      <c r="B46" s="876"/>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76"/>
      <c r="AX46" s="876"/>
      <c r="AY46" s="876"/>
      <c r="AZ46" s="876"/>
      <c r="BA46" s="876"/>
      <c r="BB46" s="876"/>
      <c r="BC46" s="876"/>
      <c r="BD46" s="876"/>
      <c r="BE46" s="876"/>
      <c r="BF46" s="876"/>
      <c r="BG46" s="876"/>
      <c r="BH46" s="876"/>
      <c r="BI46" s="876"/>
      <c r="BJ46" s="876"/>
      <c r="BK46" s="876"/>
    </row>
    <row r="47" spans="1:63" ht="15.75">
      <c r="A47" s="876"/>
      <c r="B47" s="876"/>
      <c r="C47" s="876"/>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6"/>
      <c r="AY47" s="876"/>
      <c r="AZ47" s="876"/>
      <c r="BA47" s="876"/>
      <c r="BB47" s="876"/>
      <c r="BC47" s="876"/>
      <c r="BD47" s="876"/>
      <c r="BE47" s="876"/>
      <c r="BF47" s="876"/>
      <c r="BG47" s="876"/>
      <c r="BH47" s="876"/>
      <c r="BI47" s="876"/>
      <c r="BJ47" s="876"/>
      <c r="BK47" s="876"/>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3"/>
  <sheetViews>
    <sheetView zoomScaleNormal="100" workbookViewId="0">
      <selection activeCell="C7" sqref="C7"/>
    </sheetView>
  </sheetViews>
  <sheetFormatPr defaultColWidth="8.77734375" defaultRowHeight="15"/>
  <cols>
    <col min="1" max="1" width="9.77734375" style="5" customWidth="1"/>
    <col min="2" max="2" width="10.5546875" style="5" customWidth="1"/>
    <col min="3" max="3" width="8.77734375" style="5"/>
    <col min="4" max="4" width="15.109375" style="5" bestFit="1" customWidth="1"/>
    <col min="5" max="5" width="15.21875" style="5" bestFit="1" customWidth="1"/>
    <col min="6" max="16384" width="8.77734375" style="5"/>
  </cols>
  <sheetData>
    <row r="1" spans="1:6" s="11" customFormat="1" ht="15.75">
      <c r="A1" s="11" t="s">
        <v>361</v>
      </c>
    </row>
    <row r="2" spans="1:6">
      <c r="A2" s="876" t="s">
        <v>584</v>
      </c>
      <c r="B2" s="876"/>
      <c r="C2" s="876"/>
      <c r="D2" s="876"/>
      <c r="E2" s="876"/>
      <c r="F2" s="876"/>
    </row>
    <row r="4" spans="1:6">
      <c r="A4" s="231" t="s">
        <v>585</v>
      </c>
      <c r="B4" s="85"/>
      <c r="C4" s="85"/>
      <c r="D4" s="85"/>
      <c r="E4" s="85"/>
      <c r="F4" s="85"/>
    </row>
    <row r="5" spans="1:6">
      <c r="A5" s="231"/>
      <c r="B5" s="85"/>
      <c r="C5" s="85"/>
      <c r="D5" s="85"/>
      <c r="E5" s="85"/>
      <c r="F5" s="85"/>
    </row>
    <row r="6" spans="1:6">
      <c r="A6" s="85"/>
      <c r="B6" s="85"/>
      <c r="C6" s="104"/>
      <c r="D6" s="85"/>
      <c r="E6" s="85"/>
      <c r="F6" s="85"/>
    </row>
    <row r="7" spans="1:6">
      <c r="A7" s="279" t="s">
        <v>586</v>
      </c>
      <c r="B7" s="279"/>
      <c r="C7" s="430">
        <f>Basbelopp!AV139</f>
        <v>180.21</v>
      </c>
      <c r="D7" s="85"/>
      <c r="E7" s="85"/>
      <c r="F7" s="85"/>
    </row>
    <row r="8" spans="1:6">
      <c r="A8" s="279"/>
      <c r="B8" s="279"/>
      <c r="C8" s="430"/>
      <c r="D8" s="85"/>
      <c r="E8" s="85"/>
      <c r="F8" s="85"/>
    </row>
    <row r="9" spans="1:6" ht="15.75">
      <c r="A9" s="85"/>
      <c r="B9" s="85"/>
      <c r="C9" s="85"/>
      <c r="D9" s="85"/>
      <c r="E9" s="85"/>
      <c r="F9" s="417"/>
    </row>
    <row r="10" spans="1:6" ht="15.75">
      <c r="A10" s="279" t="s">
        <v>587</v>
      </c>
      <c r="B10" s="279"/>
      <c r="C10" s="285">
        <v>0.1</v>
      </c>
      <c r="D10" s="85"/>
      <c r="E10" s="85"/>
      <c r="F10" s="417"/>
    </row>
    <row r="11" spans="1:6">
      <c r="A11" s="279"/>
      <c r="B11" s="279"/>
      <c r="C11" s="285"/>
      <c r="D11" s="85"/>
      <c r="E11" s="85"/>
      <c r="F11" s="85"/>
    </row>
    <row r="12" spans="1:6">
      <c r="A12" s="85"/>
      <c r="B12" s="85"/>
      <c r="C12" s="85"/>
      <c r="D12" s="495">
        <v>2025</v>
      </c>
      <c r="E12" s="495"/>
      <c r="F12" s="85"/>
    </row>
    <row r="13" spans="1:6">
      <c r="A13" s="104" t="str">
        <f>Invånare!B5</f>
        <v>2024</v>
      </c>
      <c r="B13" s="103" t="s">
        <v>4</v>
      </c>
      <c r="C13" s="85"/>
      <c r="D13" s="103" t="s">
        <v>588</v>
      </c>
      <c r="E13" s="103"/>
      <c r="F13" s="85"/>
    </row>
    <row r="14" spans="1:6">
      <c r="A14" s="232" t="s">
        <v>93</v>
      </c>
      <c r="B14" s="233">
        <f>Invånare!B6</f>
        <v>436</v>
      </c>
      <c r="C14" s="85"/>
      <c r="D14" s="308">
        <f>ROUND($C$7*B14*$C$10,2)</f>
        <v>7857.16</v>
      </c>
      <c r="E14" s="308"/>
      <c r="F14" s="85"/>
    </row>
    <row r="15" spans="1:6">
      <c r="A15" s="104" t="s">
        <v>94</v>
      </c>
      <c r="B15" s="233">
        <f>Invånare!B7</f>
        <v>942</v>
      </c>
      <c r="C15" s="85"/>
      <c r="D15" s="308">
        <f t="shared" ref="D15:D29" si="0">ROUND($C$7*B15*$C$10,2)</f>
        <v>16975.78</v>
      </c>
      <c r="E15" s="308"/>
      <c r="F15" s="85"/>
    </row>
    <row r="16" spans="1:6">
      <c r="A16" s="104" t="s">
        <v>95</v>
      </c>
      <c r="B16" s="233">
        <f>Invånare!B8</f>
        <v>2610</v>
      </c>
      <c r="C16" s="85"/>
      <c r="D16" s="308">
        <f t="shared" si="0"/>
        <v>47034.81</v>
      </c>
      <c r="E16" s="308"/>
      <c r="F16" s="85"/>
    </row>
    <row r="17" spans="1:6">
      <c r="A17" s="196" t="s">
        <v>96</v>
      </c>
      <c r="B17" s="233">
        <f>Invånare!B9</f>
        <v>509</v>
      </c>
      <c r="C17" s="85"/>
      <c r="D17" s="308">
        <f t="shared" si="0"/>
        <v>9172.69</v>
      </c>
      <c r="E17" s="308"/>
      <c r="F17" s="85"/>
    </row>
    <row r="18" spans="1:6">
      <c r="A18" s="196" t="s">
        <v>97</v>
      </c>
      <c r="B18" s="233">
        <f>Invånare!B10</f>
        <v>509</v>
      </c>
      <c r="C18" s="85"/>
      <c r="D18" s="308">
        <f t="shared" si="0"/>
        <v>9172.69</v>
      </c>
      <c r="E18" s="308"/>
      <c r="F18" s="85"/>
    </row>
    <row r="19" spans="1:6">
      <c r="A19" s="196" t="s">
        <v>98</v>
      </c>
      <c r="B19" s="233">
        <f>Invånare!B11</f>
        <v>1646</v>
      </c>
      <c r="C19" s="85"/>
      <c r="D19" s="308">
        <f t="shared" si="0"/>
        <v>29662.57</v>
      </c>
      <c r="E19" s="308"/>
      <c r="F19" s="85"/>
    </row>
    <row r="20" spans="1:6">
      <c r="A20" s="196" t="s">
        <v>99</v>
      </c>
      <c r="B20" s="233">
        <f>Invånare!B12</f>
        <v>5697</v>
      </c>
      <c r="C20" s="85"/>
      <c r="D20" s="308">
        <f t="shared" si="0"/>
        <v>102665.64</v>
      </c>
      <c r="E20" s="308"/>
      <c r="F20" s="85"/>
    </row>
    <row r="21" spans="1:6">
      <c r="A21" s="196" t="s">
        <v>100</v>
      </c>
      <c r="B21" s="233">
        <f>Invånare!B13</f>
        <v>290</v>
      </c>
      <c r="C21" s="85"/>
      <c r="D21" s="308">
        <f t="shared" si="0"/>
        <v>5226.09</v>
      </c>
      <c r="E21" s="308"/>
      <c r="F21" s="85"/>
    </row>
    <row r="22" spans="1:6">
      <c r="A22" s="196" t="s">
        <v>101</v>
      </c>
      <c r="B22" s="233">
        <f>Invånare!B14</f>
        <v>225</v>
      </c>
      <c r="C22" s="85"/>
      <c r="D22" s="308">
        <f t="shared" si="0"/>
        <v>4054.73</v>
      </c>
      <c r="E22" s="308"/>
      <c r="F22" s="85"/>
    </row>
    <row r="23" spans="1:6">
      <c r="A23" s="196" t="s">
        <v>102</v>
      </c>
      <c r="B23" s="233">
        <f>Invånare!B15</f>
        <v>2127</v>
      </c>
      <c r="C23" s="85"/>
      <c r="D23" s="308">
        <f t="shared" si="0"/>
        <v>38330.67</v>
      </c>
      <c r="E23" s="308"/>
      <c r="F23" s="85"/>
    </row>
    <row r="24" spans="1:6">
      <c r="A24" s="196" t="s">
        <v>103</v>
      </c>
      <c r="B24" s="233">
        <f>Invånare!B16</f>
        <v>366</v>
      </c>
      <c r="C24" s="85"/>
      <c r="D24" s="308">
        <f t="shared" si="0"/>
        <v>6595.69</v>
      </c>
      <c r="E24" s="308"/>
      <c r="F24" s="85"/>
    </row>
    <row r="25" spans="1:6">
      <c r="A25" s="196" t="s">
        <v>104</v>
      </c>
      <c r="B25" s="233">
        <f>Invånare!B17</f>
        <v>1791</v>
      </c>
      <c r="C25" s="85"/>
      <c r="D25" s="308">
        <f t="shared" si="0"/>
        <v>32275.61</v>
      </c>
      <c r="E25" s="308"/>
      <c r="F25" s="85"/>
    </row>
    <row r="26" spans="1:6">
      <c r="A26" s="196" t="s">
        <v>105</v>
      </c>
      <c r="B26" s="233">
        <f>Invånare!B18</f>
        <v>115</v>
      </c>
      <c r="C26" s="85"/>
      <c r="D26" s="308">
        <f t="shared" si="0"/>
        <v>2072.42</v>
      </c>
      <c r="E26" s="308"/>
      <c r="F26" s="85"/>
    </row>
    <row r="27" spans="1:6">
      <c r="A27" s="196" t="s">
        <v>106</v>
      </c>
      <c r="B27" s="233">
        <f>Invånare!B19</f>
        <v>995</v>
      </c>
      <c r="C27" s="85"/>
      <c r="D27" s="308">
        <f t="shared" si="0"/>
        <v>17930.900000000001</v>
      </c>
      <c r="E27" s="308"/>
      <c r="F27" s="85"/>
    </row>
    <row r="28" spans="1:6">
      <c r="A28" s="196" t="s">
        <v>107</v>
      </c>
      <c r="B28" s="233">
        <f>Invånare!B20</f>
        <v>471</v>
      </c>
      <c r="C28" s="85"/>
      <c r="D28" s="308">
        <f t="shared" si="0"/>
        <v>8487.89</v>
      </c>
      <c r="E28" s="308"/>
      <c r="F28" s="85"/>
    </row>
    <row r="29" spans="1:6">
      <c r="A29" s="104" t="s">
        <v>108</v>
      </c>
      <c r="B29" s="233">
        <f>Invånare!B21</f>
        <v>11812</v>
      </c>
      <c r="C29" s="85"/>
      <c r="D29" s="308">
        <f t="shared" si="0"/>
        <v>212864.05</v>
      </c>
      <c r="E29" s="308"/>
      <c r="F29" s="85"/>
    </row>
    <row r="30" spans="1:6">
      <c r="A30" s="197" t="s">
        <v>109</v>
      </c>
      <c r="B30" s="234">
        <f>SUM(B14:B29)</f>
        <v>30541</v>
      </c>
      <c r="C30" s="104"/>
      <c r="D30" s="309">
        <f>SUM(D14:D29)</f>
        <v>550379.39</v>
      </c>
      <c r="E30" s="309"/>
      <c r="F30" s="85"/>
    </row>
    <row r="31" spans="1:6" ht="15.75" thickBot="1">
      <c r="A31" s="85"/>
      <c r="B31" s="85"/>
      <c r="C31" s="85"/>
      <c r="D31" s="85"/>
      <c r="E31" s="85"/>
      <c r="F31" s="85"/>
    </row>
    <row r="32" spans="1:6" ht="16.5" thickTop="1" thickBot="1">
      <c r="A32" s="85"/>
      <c r="B32" s="85"/>
      <c r="C32" s="85"/>
      <c r="D32" s="101">
        <f>E30-'Kultur&amp;Medis'!C22</f>
        <v>0</v>
      </c>
      <c r="E32" s="101">
        <f>D30-'Kultur&amp;Medis'!B22</f>
        <v>0</v>
      </c>
      <c r="F32" s="85"/>
    </row>
    <row r="33" spans="1:6" ht="15.75" thickTop="1">
      <c r="A33" s="85"/>
      <c r="B33" s="85"/>
      <c r="C33" s="85"/>
      <c r="D33" s="85"/>
      <c r="E33" s="85"/>
      <c r="F33" s="85"/>
    </row>
  </sheetData>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52"/>
  <sheetViews>
    <sheetView zoomScale="85" zoomScaleNormal="100" workbookViewId="0">
      <selection activeCell="A2" sqref="A2"/>
    </sheetView>
  </sheetViews>
  <sheetFormatPr defaultColWidth="8.77734375" defaultRowHeight="15"/>
  <cols>
    <col min="1" max="1" width="11.77734375" style="18" customWidth="1"/>
    <col min="2" max="2" width="8.77734375" style="18"/>
    <col min="3" max="3" width="8.77734375" style="18" customWidth="1"/>
    <col min="4" max="7" width="8.77734375" style="18"/>
    <col min="8" max="8" width="6.77734375" style="18" customWidth="1"/>
    <col min="9" max="11" width="8.77734375" style="18"/>
    <col min="12" max="12" width="8.21875" style="18" customWidth="1"/>
    <col min="13" max="13" width="6.5546875" style="18" customWidth="1"/>
    <col min="14" max="14" width="4.77734375" style="18" customWidth="1"/>
    <col min="15" max="16384" width="8.77734375" style="18"/>
  </cols>
  <sheetData>
    <row r="1" spans="1:6" ht="15.75">
      <c r="A1" s="11" t="s">
        <v>518</v>
      </c>
      <c r="B1" s="876"/>
      <c r="C1" s="876"/>
      <c r="D1" s="876"/>
      <c r="E1" s="876"/>
      <c r="F1" s="876"/>
    </row>
    <row r="2" spans="1:6" ht="15.75">
      <c r="A2" s="448" t="s">
        <v>589</v>
      </c>
      <c r="B2" s="20" t="s">
        <v>590</v>
      </c>
      <c r="C2" s="300"/>
      <c r="D2" s="876"/>
      <c r="E2" s="876"/>
      <c r="F2" s="876"/>
    </row>
    <row r="3" spans="1:6">
      <c r="A3" s="19"/>
      <c r="B3" s="20"/>
      <c r="C3" s="876"/>
      <c r="D3" s="876"/>
      <c r="E3" s="876"/>
      <c r="F3" s="876"/>
    </row>
    <row r="4" spans="1:6">
      <c r="A4" s="7" t="s">
        <v>520</v>
      </c>
      <c r="B4" s="24"/>
      <c r="C4" s="876"/>
      <c r="D4" s="876"/>
      <c r="E4" s="7" t="s">
        <v>119</v>
      </c>
      <c r="F4" s="25" t="s">
        <v>521</v>
      </c>
    </row>
    <row r="5" spans="1:6">
      <c r="A5" s="99">
        <v>42736</v>
      </c>
      <c r="B5" s="314" t="s">
        <v>221</v>
      </c>
      <c r="C5" s="85"/>
      <c r="D5" s="85"/>
      <c r="E5" s="99">
        <v>42736</v>
      </c>
      <c r="F5" s="314" t="s">
        <v>221</v>
      </c>
    </row>
    <row r="6" spans="1:6">
      <c r="A6" s="95" t="s">
        <v>93</v>
      </c>
      <c r="B6" s="677">
        <v>436</v>
      </c>
      <c r="C6" s="85"/>
      <c r="D6" s="85"/>
      <c r="E6" s="95" t="s">
        <v>93</v>
      </c>
      <c r="F6" s="668">
        <v>29</v>
      </c>
    </row>
    <row r="7" spans="1:6">
      <c r="A7" s="95" t="s">
        <v>94</v>
      </c>
      <c r="B7" s="677">
        <v>942</v>
      </c>
      <c r="C7" s="85"/>
      <c r="D7" s="85"/>
      <c r="E7" s="95" t="s">
        <v>94</v>
      </c>
      <c r="F7" s="677">
        <v>87</v>
      </c>
    </row>
    <row r="8" spans="1:6">
      <c r="A8" s="95" t="s">
        <v>95</v>
      </c>
      <c r="B8" s="677">
        <v>2610</v>
      </c>
      <c r="C8" s="85"/>
      <c r="D8" s="85"/>
      <c r="E8" s="95" t="s">
        <v>95</v>
      </c>
      <c r="F8" s="677">
        <v>322</v>
      </c>
    </row>
    <row r="9" spans="1:6">
      <c r="A9" s="95" t="s">
        <v>96</v>
      </c>
      <c r="B9" s="677">
        <v>509</v>
      </c>
      <c r="C9" s="85"/>
      <c r="D9" s="85"/>
      <c r="E9" s="95" t="s">
        <v>96</v>
      </c>
      <c r="F9" s="677">
        <v>55</v>
      </c>
    </row>
    <row r="10" spans="1:6">
      <c r="A10" s="95" t="s">
        <v>97</v>
      </c>
      <c r="B10" s="677">
        <v>509</v>
      </c>
      <c r="C10" s="85"/>
      <c r="D10" s="85"/>
      <c r="E10" s="95" t="s">
        <v>97</v>
      </c>
      <c r="F10" s="677">
        <v>56</v>
      </c>
    </row>
    <row r="11" spans="1:6">
      <c r="A11" s="95" t="s">
        <v>98</v>
      </c>
      <c r="B11" s="677">
        <v>1646</v>
      </c>
      <c r="C11" s="85"/>
      <c r="D11" s="85"/>
      <c r="E11" s="95" t="s">
        <v>98</v>
      </c>
      <c r="F11" s="677">
        <v>190</v>
      </c>
    </row>
    <row r="12" spans="1:6">
      <c r="A12" s="95" t="s">
        <v>99</v>
      </c>
      <c r="B12" s="677">
        <v>5697</v>
      </c>
      <c r="C12" s="85"/>
      <c r="D12" s="85"/>
      <c r="E12" s="95" t="s">
        <v>99</v>
      </c>
      <c r="F12" s="677">
        <v>781</v>
      </c>
    </row>
    <row r="13" spans="1:6">
      <c r="A13" s="95" t="s">
        <v>100</v>
      </c>
      <c r="B13" s="677">
        <v>290</v>
      </c>
      <c r="C13" s="85"/>
      <c r="D13" s="85"/>
      <c r="E13" s="95" t="s">
        <v>100</v>
      </c>
      <c r="F13" s="677">
        <v>18</v>
      </c>
    </row>
    <row r="14" spans="1:6">
      <c r="A14" s="95" t="s">
        <v>101</v>
      </c>
      <c r="B14" s="677">
        <v>225</v>
      </c>
      <c r="C14" s="85"/>
      <c r="D14" s="85"/>
      <c r="E14" s="95" t="s">
        <v>101</v>
      </c>
      <c r="F14" s="677">
        <v>2</v>
      </c>
    </row>
    <row r="15" spans="1:6">
      <c r="A15" s="95" t="s">
        <v>102</v>
      </c>
      <c r="B15" s="677">
        <v>2127</v>
      </c>
      <c r="C15" s="85"/>
      <c r="D15" s="85"/>
      <c r="E15" s="95" t="s">
        <v>102</v>
      </c>
      <c r="F15" s="677">
        <v>322</v>
      </c>
    </row>
    <row r="16" spans="1:6">
      <c r="A16" s="95" t="s">
        <v>103</v>
      </c>
      <c r="B16" s="677">
        <v>366</v>
      </c>
      <c r="C16" s="85"/>
      <c r="D16" s="85"/>
      <c r="E16" s="95" t="s">
        <v>103</v>
      </c>
      <c r="F16" s="677">
        <v>35</v>
      </c>
    </row>
    <row r="17" spans="1:20">
      <c r="A17" s="95" t="s">
        <v>104</v>
      </c>
      <c r="B17" s="677">
        <v>1791</v>
      </c>
      <c r="C17" s="85"/>
      <c r="D17" s="85"/>
      <c r="E17" s="95" t="s">
        <v>104</v>
      </c>
      <c r="F17" s="677">
        <v>221</v>
      </c>
      <c r="G17" s="876"/>
      <c r="H17" s="876"/>
      <c r="I17" s="882"/>
      <c r="J17" s="876"/>
      <c r="K17" s="876"/>
      <c r="L17" s="876"/>
      <c r="M17" s="876"/>
      <c r="N17" s="876"/>
      <c r="O17" s="876"/>
      <c r="P17" s="876"/>
      <c r="Q17" s="876"/>
      <c r="R17" s="876"/>
      <c r="S17" s="876"/>
      <c r="T17" s="876"/>
    </row>
    <row r="18" spans="1:20">
      <c r="A18" s="95" t="s">
        <v>105</v>
      </c>
      <c r="B18" s="677">
        <v>115</v>
      </c>
      <c r="C18" s="85"/>
      <c r="D18" s="85"/>
      <c r="E18" s="95" t="s">
        <v>105</v>
      </c>
      <c r="F18" s="677">
        <v>16</v>
      </c>
      <c r="G18" s="876"/>
      <c r="H18" s="876"/>
      <c r="I18" s="876"/>
      <c r="J18" s="876"/>
      <c r="K18" s="876"/>
      <c r="L18" s="876"/>
      <c r="M18" s="876"/>
      <c r="N18" s="876"/>
      <c r="O18" s="876"/>
      <c r="P18" s="876"/>
      <c r="Q18" s="876"/>
      <c r="R18" s="876"/>
      <c r="S18" s="876"/>
      <c r="T18" s="876"/>
    </row>
    <row r="19" spans="1:20">
      <c r="A19" s="95" t="s">
        <v>106</v>
      </c>
      <c r="B19" s="677">
        <v>995</v>
      </c>
      <c r="C19" s="85"/>
      <c r="D19" s="85"/>
      <c r="E19" s="95" t="s">
        <v>106</v>
      </c>
      <c r="F19" s="677">
        <v>101</v>
      </c>
      <c r="G19" s="876"/>
      <c r="H19" s="876"/>
      <c r="I19" s="876"/>
      <c r="J19" s="876"/>
      <c r="K19" s="876"/>
      <c r="L19" s="876"/>
      <c r="M19" s="876"/>
      <c r="N19" s="876"/>
      <c r="O19" s="876"/>
      <c r="P19" s="876"/>
      <c r="Q19" s="876"/>
      <c r="R19" s="876"/>
      <c r="S19" s="876"/>
      <c r="T19" s="876"/>
    </row>
    <row r="20" spans="1:20">
      <c r="A20" s="95" t="s">
        <v>107</v>
      </c>
      <c r="B20" s="677">
        <v>471</v>
      </c>
      <c r="C20" s="85"/>
      <c r="D20" s="85"/>
      <c r="E20" s="95" t="s">
        <v>107</v>
      </c>
      <c r="F20" s="677">
        <v>36</v>
      </c>
      <c r="G20" s="876"/>
      <c r="H20" s="876"/>
      <c r="I20" s="876"/>
      <c r="J20" s="876"/>
      <c r="K20" s="876"/>
      <c r="L20" s="876"/>
      <c r="M20" s="876"/>
      <c r="N20" s="876"/>
      <c r="O20" s="876"/>
      <c r="P20" s="876"/>
      <c r="Q20" s="876"/>
      <c r="R20" s="876"/>
      <c r="S20" s="876"/>
      <c r="T20" s="876"/>
    </row>
    <row r="21" spans="1:20">
      <c r="A21" s="96" t="s">
        <v>108</v>
      </c>
      <c r="B21" s="669">
        <v>11812</v>
      </c>
      <c r="C21" s="85"/>
      <c r="D21" s="85"/>
      <c r="E21" s="96" t="s">
        <v>108</v>
      </c>
      <c r="F21" s="669">
        <v>1249</v>
      </c>
      <c r="G21" s="876"/>
      <c r="H21" s="876"/>
      <c r="I21" s="876"/>
      <c r="J21" s="876"/>
      <c r="K21" s="876"/>
      <c r="L21" s="876"/>
      <c r="M21" s="876"/>
      <c r="N21" s="876"/>
      <c r="O21" s="876"/>
      <c r="P21" s="876"/>
      <c r="Q21" s="876"/>
      <c r="R21" s="876"/>
      <c r="S21" s="876"/>
      <c r="T21" s="876"/>
    </row>
    <row r="22" spans="1:20">
      <c r="A22" s="95" t="s">
        <v>109</v>
      </c>
      <c r="B22" s="97">
        <f>SUM(B6:B21)</f>
        <v>30541</v>
      </c>
      <c r="C22" s="85"/>
      <c r="D22" s="85"/>
      <c r="E22" s="95" t="s">
        <v>109</v>
      </c>
      <c r="F22" s="98">
        <f>SUM(F6:F21)</f>
        <v>3520</v>
      </c>
      <c r="G22" s="876"/>
      <c r="H22" s="876"/>
      <c r="I22" s="876"/>
      <c r="J22" s="876"/>
      <c r="K22" s="876"/>
      <c r="L22" s="876"/>
      <c r="M22" s="876"/>
      <c r="N22" s="876"/>
      <c r="O22" s="876"/>
      <c r="P22" s="876"/>
      <c r="Q22" s="876"/>
      <c r="R22" s="876"/>
      <c r="S22" s="876"/>
      <c r="T22" s="876"/>
    </row>
    <row r="23" spans="1:20">
      <c r="A23" s="876"/>
      <c r="B23" s="876"/>
      <c r="C23" s="876"/>
      <c r="D23" s="876"/>
      <c r="E23" s="876"/>
      <c r="F23" s="876"/>
      <c r="G23" s="876"/>
      <c r="H23" s="876"/>
      <c r="I23" s="876"/>
      <c r="J23" s="876"/>
      <c r="K23" s="876"/>
      <c r="L23" s="876"/>
      <c r="M23" s="876"/>
      <c r="N23" s="876"/>
      <c r="O23" s="876"/>
      <c r="P23" s="876"/>
      <c r="Q23" s="876"/>
      <c r="R23" s="882"/>
      <c r="S23" s="876"/>
      <c r="T23" s="26"/>
    </row>
    <row r="25" spans="1:20" ht="15.75">
      <c r="A25" s="7" t="s">
        <v>519</v>
      </c>
      <c r="B25" s="891"/>
      <c r="C25" s="891"/>
      <c r="D25" s="891"/>
      <c r="E25" s="891"/>
      <c r="F25" s="891"/>
      <c r="G25"/>
      <c r="H25" s="876"/>
      <c r="I25" s="876"/>
      <c r="J25" s="876"/>
      <c r="K25" s="876"/>
      <c r="L25" s="876"/>
      <c r="M25" s="876"/>
      <c r="N25" s="876"/>
      <c r="O25" s="876"/>
      <c r="P25" s="876"/>
      <c r="Q25" s="876"/>
      <c r="R25" s="876"/>
      <c r="S25" s="876"/>
      <c r="T25" s="876"/>
    </row>
    <row r="26" spans="1:20" ht="15.75" thickBot="1">
      <c r="A26" s="315" t="s">
        <v>591</v>
      </c>
      <c r="B26" s="100" t="s">
        <v>377</v>
      </c>
      <c r="C26" s="100" t="s">
        <v>381</v>
      </c>
      <c r="D26" s="100" t="s">
        <v>378</v>
      </c>
      <c r="E26" s="100" t="s">
        <v>379</v>
      </c>
      <c r="F26" s="100" t="s">
        <v>380</v>
      </c>
      <c r="G26" s="876"/>
      <c r="H26" s="876"/>
      <c r="I26" s="876"/>
      <c r="J26" s="876"/>
      <c r="K26" s="876"/>
      <c r="L26" s="85" t="s">
        <v>545</v>
      </c>
      <c r="M26" s="85"/>
      <c r="N26" s="85"/>
      <c r="O26" s="876"/>
      <c r="P26" s="876"/>
      <c r="Q26" s="876"/>
      <c r="R26" s="876"/>
      <c r="S26" s="876"/>
      <c r="T26" s="876"/>
    </row>
    <row r="27" spans="1:20" ht="16.5" thickTop="1" thickBot="1">
      <c r="A27" s="95" t="s">
        <v>93</v>
      </c>
      <c r="B27" s="664">
        <v>16</v>
      </c>
      <c r="C27" s="664">
        <v>265</v>
      </c>
      <c r="D27" s="664">
        <v>82</v>
      </c>
      <c r="E27" s="664">
        <v>59</v>
      </c>
      <c r="F27" s="664">
        <v>14</v>
      </c>
      <c r="G27" s="876"/>
      <c r="H27" s="876"/>
      <c r="I27" s="876"/>
      <c r="J27" s="876"/>
      <c r="K27" s="876"/>
      <c r="L27" s="101">
        <f t="shared" ref="L27:L42" si="0">SUM(B27:F27)-B6</f>
        <v>0</v>
      </c>
      <c r="M27" s="85"/>
      <c r="N27" s="85"/>
      <c r="O27" s="876"/>
      <c r="P27" s="876"/>
      <c r="Q27" s="876"/>
      <c r="R27" s="876"/>
      <c r="S27" s="876"/>
      <c r="T27" s="876"/>
    </row>
    <row r="28" spans="1:20" ht="16.5" thickTop="1" thickBot="1">
      <c r="A28" s="95" t="s">
        <v>94</v>
      </c>
      <c r="B28" s="665">
        <v>59</v>
      </c>
      <c r="C28" s="665">
        <v>603</v>
      </c>
      <c r="D28" s="665">
        <v>153</v>
      </c>
      <c r="E28" s="665">
        <v>94</v>
      </c>
      <c r="F28" s="665">
        <v>33</v>
      </c>
      <c r="G28" s="876"/>
      <c r="H28" s="876"/>
      <c r="I28" s="876"/>
      <c r="J28" s="876"/>
      <c r="K28" s="876"/>
      <c r="L28" s="101">
        <f t="shared" si="0"/>
        <v>0</v>
      </c>
      <c r="M28" s="85"/>
      <c r="N28" s="85"/>
      <c r="O28" s="876"/>
      <c r="P28" s="876"/>
      <c r="Q28" s="876"/>
      <c r="R28" s="876"/>
      <c r="S28" s="876"/>
      <c r="T28" s="876"/>
    </row>
    <row r="29" spans="1:20" ht="16.5" thickTop="1" thickBot="1">
      <c r="A29" s="95" t="s">
        <v>95</v>
      </c>
      <c r="B29" s="665">
        <v>182</v>
      </c>
      <c r="C29" s="665">
        <v>1826</v>
      </c>
      <c r="D29" s="665">
        <v>315</v>
      </c>
      <c r="E29" s="665">
        <v>214</v>
      </c>
      <c r="F29" s="665">
        <v>73</v>
      </c>
      <c r="G29" s="876"/>
      <c r="H29" s="876"/>
      <c r="I29" s="876"/>
      <c r="J29" s="876"/>
      <c r="K29" s="876"/>
      <c r="L29" s="101">
        <f t="shared" si="0"/>
        <v>0</v>
      </c>
      <c r="M29" s="85"/>
      <c r="N29" s="85"/>
      <c r="O29" s="876"/>
      <c r="P29" s="876"/>
      <c r="Q29" s="876"/>
      <c r="R29" s="876"/>
      <c r="S29" s="876"/>
      <c r="T29" s="876"/>
    </row>
    <row r="30" spans="1:20" ht="16.5" thickTop="1" thickBot="1">
      <c r="A30" s="95" t="s">
        <v>96</v>
      </c>
      <c r="B30" s="665">
        <v>31</v>
      </c>
      <c r="C30" s="665">
        <v>316</v>
      </c>
      <c r="D30" s="665">
        <v>80</v>
      </c>
      <c r="E30" s="665">
        <v>58</v>
      </c>
      <c r="F30" s="665">
        <v>24</v>
      </c>
      <c r="G30" s="876"/>
      <c r="H30" s="876"/>
      <c r="I30" s="876"/>
      <c r="J30" s="876"/>
      <c r="K30" s="876"/>
      <c r="L30" s="101">
        <f t="shared" si="0"/>
        <v>0</v>
      </c>
      <c r="M30" s="85"/>
      <c r="N30" s="85"/>
      <c r="O30" s="876"/>
      <c r="P30" s="876"/>
      <c r="Q30" s="876"/>
      <c r="R30" s="876"/>
      <c r="S30" s="876"/>
      <c r="T30" s="876"/>
    </row>
    <row r="31" spans="1:20" ht="16.5" thickTop="1" thickBot="1">
      <c r="A31" s="95" t="s">
        <v>97</v>
      </c>
      <c r="B31" s="665">
        <v>34</v>
      </c>
      <c r="C31" s="665">
        <v>344</v>
      </c>
      <c r="D31" s="665">
        <v>64</v>
      </c>
      <c r="E31" s="665">
        <v>46</v>
      </c>
      <c r="F31" s="665">
        <v>21</v>
      </c>
      <c r="G31" s="876"/>
      <c r="H31" s="876"/>
      <c r="I31" s="876"/>
      <c r="J31" s="876"/>
      <c r="K31" s="876"/>
      <c r="L31" s="101">
        <f t="shared" si="0"/>
        <v>0</v>
      </c>
      <c r="M31" s="85"/>
      <c r="N31" s="85"/>
      <c r="O31" s="876"/>
      <c r="P31" s="876"/>
      <c r="Q31" s="876"/>
      <c r="R31" s="876"/>
      <c r="S31" s="876"/>
      <c r="T31" s="876"/>
    </row>
    <row r="32" spans="1:20" ht="16.5" thickTop="1" thickBot="1">
      <c r="A32" s="95" t="s">
        <v>98</v>
      </c>
      <c r="B32" s="665">
        <v>121</v>
      </c>
      <c r="C32" s="665">
        <v>1144</v>
      </c>
      <c r="D32" s="665">
        <v>181</v>
      </c>
      <c r="E32" s="665">
        <v>150</v>
      </c>
      <c r="F32" s="665">
        <v>50</v>
      </c>
      <c r="G32" s="876"/>
      <c r="H32" s="876"/>
      <c r="I32" s="876"/>
      <c r="J32" s="876"/>
      <c r="K32" s="876"/>
      <c r="L32" s="101">
        <f t="shared" si="0"/>
        <v>0</v>
      </c>
      <c r="M32" s="85"/>
      <c r="N32" s="85"/>
      <c r="O32" s="876"/>
      <c r="P32" s="876"/>
      <c r="Q32" s="876"/>
      <c r="R32" s="876"/>
      <c r="S32" s="876"/>
      <c r="T32" s="876"/>
    </row>
    <row r="33" spans="1:16" ht="16.5" thickTop="1" thickBot="1">
      <c r="A33" s="95" t="s">
        <v>99</v>
      </c>
      <c r="B33" s="665">
        <v>518</v>
      </c>
      <c r="C33" s="665">
        <v>4258</v>
      </c>
      <c r="D33" s="665">
        <v>512</v>
      </c>
      <c r="E33" s="665">
        <v>325</v>
      </c>
      <c r="F33" s="665">
        <v>84</v>
      </c>
      <c r="G33" s="876"/>
      <c r="H33" s="876"/>
      <c r="I33" s="876"/>
      <c r="J33" s="876"/>
      <c r="K33" s="876"/>
      <c r="L33" s="101">
        <f t="shared" si="0"/>
        <v>0</v>
      </c>
      <c r="M33" s="85"/>
      <c r="N33" s="85"/>
      <c r="O33" s="876"/>
      <c r="P33" s="876"/>
    </row>
    <row r="34" spans="1:16" ht="16.5" thickTop="1" thickBot="1">
      <c r="A34" s="95" t="s">
        <v>100</v>
      </c>
      <c r="B34" s="665">
        <v>13</v>
      </c>
      <c r="C34" s="665">
        <v>157</v>
      </c>
      <c r="D34" s="665">
        <v>64</v>
      </c>
      <c r="E34" s="665">
        <v>30</v>
      </c>
      <c r="F34" s="665">
        <v>26</v>
      </c>
      <c r="G34" s="876"/>
      <c r="H34" s="876"/>
      <c r="I34" s="876"/>
      <c r="J34" s="876"/>
      <c r="K34" s="876"/>
      <c r="L34" s="101">
        <f t="shared" si="0"/>
        <v>0</v>
      </c>
      <c r="M34" s="85"/>
      <c r="N34" s="85"/>
      <c r="O34" s="876"/>
      <c r="P34" s="876"/>
    </row>
    <row r="35" spans="1:16" ht="16.5" thickTop="1" thickBot="1">
      <c r="A35" s="95" t="s">
        <v>101</v>
      </c>
      <c r="B35" s="665">
        <v>9</v>
      </c>
      <c r="C35" s="665">
        <v>135</v>
      </c>
      <c r="D35" s="665">
        <v>31</v>
      </c>
      <c r="E35" s="665">
        <v>37</v>
      </c>
      <c r="F35" s="665">
        <v>13</v>
      </c>
      <c r="G35" s="876"/>
      <c r="H35" s="876"/>
      <c r="I35" s="876"/>
      <c r="J35" s="876"/>
      <c r="K35" s="876"/>
      <c r="L35" s="101">
        <f t="shared" si="0"/>
        <v>0</v>
      </c>
      <c r="M35" s="85"/>
      <c r="N35" s="85"/>
      <c r="O35" s="876"/>
      <c r="P35" s="876"/>
    </row>
    <row r="36" spans="1:16" ht="16.5" thickTop="1" thickBot="1">
      <c r="A36" s="95" t="s">
        <v>102</v>
      </c>
      <c r="B36" s="665">
        <v>192</v>
      </c>
      <c r="C36" s="665">
        <v>1517</v>
      </c>
      <c r="D36" s="665">
        <v>223</v>
      </c>
      <c r="E36" s="665">
        <v>162</v>
      </c>
      <c r="F36" s="665">
        <v>33</v>
      </c>
      <c r="G36" s="876"/>
      <c r="H36" s="876"/>
      <c r="I36" s="876"/>
      <c r="J36" s="876"/>
      <c r="K36" s="876"/>
      <c r="L36" s="101">
        <f t="shared" si="0"/>
        <v>0</v>
      </c>
      <c r="M36" s="85"/>
      <c r="N36" s="85"/>
      <c r="O36" s="876"/>
      <c r="P36" s="876"/>
    </row>
    <row r="37" spans="1:16" ht="16.5" thickTop="1" thickBot="1">
      <c r="A37" s="95" t="s">
        <v>103</v>
      </c>
      <c r="B37" s="665">
        <v>20</v>
      </c>
      <c r="C37" s="665">
        <v>238</v>
      </c>
      <c r="D37" s="665">
        <v>48</v>
      </c>
      <c r="E37" s="665">
        <v>45</v>
      </c>
      <c r="F37" s="665">
        <v>15</v>
      </c>
      <c r="G37" s="876"/>
      <c r="H37" s="876"/>
      <c r="I37" s="876"/>
      <c r="J37" s="876"/>
      <c r="K37" s="876"/>
      <c r="L37" s="101">
        <f t="shared" si="0"/>
        <v>0</v>
      </c>
      <c r="M37" s="85"/>
      <c r="N37" s="85"/>
      <c r="O37" s="876"/>
      <c r="P37" s="876"/>
    </row>
    <row r="38" spans="1:16" ht="16.5" thickTop="1" thickBot="1">
      <c r="A38" s="95" t="s">
        <v>104</v>
      </c>
      <c r="B38" s="665">
        <v>115</v>
      </c>
      <c r="C38" s="665">
        <v>1197</v>
      </c>
      <c r="D38" s="665">
        <v>247</v>
      </c>
      <c r="E38" s="665">
        <v>157</v>
      </c>
      <c r="F38" s="665">
        <v>75</v>
      </c>
      <c r="G38" s="876"/>
      <c r="H38" s="876"/>
      <c r="I38" s="876"/>
      <c r="J38" s="876"/>
      <c r="K38" s="876"/>
      <c r="L38" s="101">
        <f t="shared" si="0"/>
        <v>0</v>
      </c>
      <c r="M38" s="85"/>
      <c r="N38" s="85"/>
      <c r="O38" s="876"/>
      <c r="P38" s="876"/>
    </row>
    <row r="39" spans="1:16" ht="16.5" thickTop="1" thickBot="1">
      <c r="A39" s="95" t="s">
        <v>105</v>
      </c>
      <c r="B39" s="666">
        <v>7</v>
      </c>
      <c r="C39" s="665">
        <v>71</v>
      </c>
      <c r="D39" s="665">
        <v>18</v>
      </c>
      <c r="E39" s="665">
        <v>16</v>
      </c>
      <c r="F39" s="665">
        <v>3</v>
      </c>
      <c r="G39" s="876"/>
      <c r="H39" s="876"/>
      <c r="I39" s="876"/>
      <c r="J39" s="876"/>
      <c r="K39" s="876"/>
      <c r="L39" s="101">
        <f t="shared" si="0"/>
        <v>0</v>
      </c>
      <c r="M39" s="85"/>
      <c r="N39" s="85"/>
      <c r="O39" s="876"/>
      <c r="P39" s="876"/>
    </row>
    <row r="40" spans="1:16" ht="16.5" thickTop="1" thickBot="1">
      <c r="A40" s="95" t="s">
        <v>106</v>
      </c>
      <c r="B40" s="665">
        <v>56</v>
      </c>
      <c r="C40" s="665">
        <v>662</v>
      </c>
      <c r="D40" s="665">
        <v>148</v>
      </c>
      <c r="E40" s="665">
        <v>98</v>
      </c>
      <c r="F40" s="665">
        <v>31</v>
      </c>
      <c r="G40" s="876"/>
      <c r="H40" s="876"/>
      <c r="I40" s="876"/>
      <c r="J40" s="876"/>
      <c r="K40" s="876"/>
      <c r="L40" s="101">
        <f t="shared" si="0"/>
        <v>0</v>
      </c>
      <c r="M40" s="85"/>
      <c r="N40" s="85"/>
      <c r="O40" s="876"/>
      <c r="P40" s="876"/>
    </row>
    <row r="41" spans="1:16" ht="16.5" thickTop="1" thickBot="1">
      <c r="A41" s="95" t="s">
        <v>107</v>
      </c>
      <c r="B41" s="665">
        <v>47</v>
      </c>
      <c r="C41" s="665">
        <v>298</v>
      </c>
      <c r="D41" s="665">
        <v>63</v>
      </c>
      <c r="E41" s="665">
        <v>40</v>
      </c>
      <c r="F41" s="665">
        <v>23</v>
      </c>
      <c r="G41" s="876"/>
      <c r="H41" s="876"/>
      <c r="I41" s="876"/>
      <c r="J41" s="876"/>
      <c r="K41" s="876"/>
      <c r="L41" s="101">
        <f t="shared" si="0"/>
        <v>0</v>
      </c>
      <c r="M41" s="85"/>
      <c r="N41" s="85"/>
      <c r="O41" s="876"/>
      <c r="P41" s="876"/>
    </row>
    <row r="42" spans="1:16" ht="16.5" thickTop="1" thickBot="1">
      <c r="A42" s="96" t="s">
        <v>108</v>
      </c>
      <c r="B42" s="667">
        <v>623</v>
      </c>
      <c r="C42" s="667">
        <v>8083</v>
      </c>
      <c r="D42" s="667">
        <v>1548</v>
      </c>
      <c r="E42" s="667">
        <v>1148</v>
      </c>
      <c r="F42" s="667">
        <v>410</v>
      </c>
      <c r="G42" s="876"/>
      <c r="H42" s="876"/>
      <c r="I42" s="876"/>
      <c r="J42" s="876"/>
      <c r="K42" s="876"/>
      <c r="L42" s="102">
        <f t="shared" si="0"/>
        <v>0</v>
      </c>
      <c r="M42" s="85"/>
      <c r="N42" s="85"/>
      <c r="O42" s="876"/>
      <c r="P42" s="876"/>
    </row>
    <row r="43" spans="1:16" ht="16.5" thickTop="1" thickBot="1">
      <c r="A43" s="95" t="s">
        <v>109</v>
      </c>
      <c r="B43" s="98">
        <f t="shared" ref="B43:F43" si="1">SUM(B27:B42)</f>
        <v>2043</v>
      </c>
      <c r="C43" s="98">
        <f t="shared" si="1"/>
        <v>21114</v>
      </c>
      <c r="D43" s="98">
        <f t="shared" si="1"/>
        <v>3777</v>
      </c>
      <c r="E43" s="98">
        <f t="shared" si="1"/>
        <v>2679</v>
      </c>
      <c r="F43" s="98">
        <f t="shared" si="1"/>
        <v>928</v>
      </c>
      <c r="G43" s="876"/>
      <c r="H43" s="876"/>
      <c r="I43" s="876"/>
      <c r="J43" s="876"/>
      <c r="K43" s="17"/>
      <c r="L43" s="101">
        <f>SUM(L27:L42)</f>
        <v>0</v>
      </c>
      <c r="M43" s="101">
        <f>B22-B43-C43-D43-E43-F43</f>
        <v>0</v>
      </c>
      <c r="N43" s="876"/>
      <c r="O43" s="27"/>
      <c r="P43" s="27"/>
    </row>
    <row r="44" spans="1:16" ht="15.75" thickTop="1">
      <c r="A44" s="876"/>
      <c r="B44" s="876"/>
      <c r="C44" s="876"/>
      <c r="D44" s="876"/>
      <c r="E44" s="876"/>
      <c r="F44" s="876"/>
      <c r="G44" s="876"/>
      <c r="H44" s="876"/>
      <c r="I44" s="876"/>
      <c r="J44" s="876"/>
      <c r="K44" s="876"/>
      <c r="L44" s="876"/>
      <c r="M44" s="876"/>
      <c r="N44" s="876"/>
      <c r="O44" s="876"/>
      <c r="P44" s="876"/>
    </row>
    <row r="47" spans="1:16" ht="15.75" thickBot="1">
      <c r="A47" s="876"/>
      <c r="B47" s="876"/>
      <c r="C47" s="876"/>
      <c r="D47" s="876"/>
      <c r="E47" s="876"/>
      <c r="F47" s="876"/>
      <c r="G47" s="876"/>
      <c r="H47" s="876"/>
      <c r="I47" s="876"/>
      <c r="J47" s="876"/>
      <c r="K47" s="876"/>
      <c r="L47" s="876"/>
      <c r="M47" s="876"/>
      <c r="N47" s="876"/>
      <c r="O47" s="876"/>
      <c r="P47" s="876"/>
    </row>
    <row r="48" spans="1:16" s="498" customFormat="1" ht="15.75" thickBot="1">
      <c r="A48" s="922"/>
      <c r="B48" s="923"/>
      <c r="C48" s="923"/>
      <c r="D48" s="923"/>
      <c r="E48" s="923"/>
      <c r="F48" s="923"/>
      <c r="G48" s="923"/>
      <c r="H48" s="923"/>
      <c r="I48" s="923"/>
      <c r="J48" s="923"/>
      <c r="K48" s="923"/>
      <c r="L48" s="923"/>
      <c r="M48" s="923"/>
      <c r="N48" s="923"/>
      <c r="O48" s="923"/>
      <c r="P48" s="923"/>
    </row>
    <row r="50" spans="1:15" ht="15.75">
      <c r="A50" s="566" t="s">
        <v>592</v>
      </c>
      <c r="B50" s="924"/>
      <c r="C50" s="924"/>
      <c r="D50" s="924"/>
      <c r="E50" s="924"/>
      <c r="F50" s="876"/>
      <c r="G50" s="876"/>
      <c r="H50" s="876"/>
      <c r="I50" s="876"/>
      <c r="J50" s="876"/>
      <c r="K50" s="876"/>
      <c r="L50" s="876"/>
      <c r="M50" s="876"/>
      <c r="N50" s="876"/>
      <c r="O50" s="876"/>
    </row>
    <row r="51" spans="1:15">
      <c r="A51" s="19"/>
      <c r="B51" s="20"/>
      <c r="C51" s="300"/>
      <c r="D51" s="876"/>
      <c r="E51" s="876"/>
      <c r="F51" s="876"/>
      <c r="G51" s="876"/>
      <c r="H51" s="876"/>
      <c r="I51" s="876"/>
      <c r="J51" s="876"/>
      <c r="K51" s="876"/>
      <c r="L51" s="876"/>
      <c r="M51" s="876"/>
      <c r="N51" s="876"/>
      <c r="O51" s="876"/>
    </row>
    <row r="52" spans="1:15">
      <c r="A52" s="19"/>
      <c r="B52" s="20"/>
      <c r="C52" s="876"/>
      <c r="D52" s="876"/>
      <c r="E52" s="876"/>
      <c r="F52" s="876"/>
      <c r="G52" s="876"/>
      <c r="H52" s="876"/>
      <c r="I52" s="876"/>
      <c r="J52" s="876"/>
      <c r="K52" s="876"/>
      <c r="L52" s="876"/>
      <c r="M52" s="876"/>
      <c r="N52" s="876"/>
      <c r="O52" s="876"/>
    </row>
    <row r="53" spans="1:15">
      <c r="A53" s="7" t="s">
        <v>520</v>
      </c>
      <c r="B53" s="24"/>
      <c r="C53" s="876"/>
      <c r="D53" s="876"/>
      <c r="E53" s="7" t="s">
        <v>119</v>
      </c>
      <c r="F53" s="25" t="s">
        <v>521</v>
      </c>
      <c r="G53" s="876"/>
      <c r="H53" s="876"/>
      <c r="I53" s="876"/>
      <c r="J53" s="876"/>
      <c r="K53" s="876"/>
      <c r="L53" s="876"/>
      <c r="M53" s="876"/>
      <c r="N53" s="876"/>
      <c r="O53" s="876"/>
    </row>
    <row r="54" spans="1:15">
      <c r="A54" s="99">
        <v>42736</v>
      </c>
      <c r="B54" s="314" t="s">
        <v>593</v>
      </c>
      <c r="C54" s="85"/>
      <c r="D54" s="85"/>
      <c r="E54" s="99">
        <v>42736</v>
      </c>
      <c r="F54" s="314" t="s">
        <v>593</v>
      </c>
      <c r="G54" s="876"/>
      <c r="H54" s="876"/>
      <c r="I54" s="876"/>
      <c r="J54" s="876"/>
      <c r="K54" s="876"/>
      <c r="L54" s="876"/>
      <c r="M54" s="876"/>
      <c r="N54" s="876"/>
      <c r="O54" s="876"/>
    </row>
    <row r="55" spans="1:15">
      <c r="A55" s="95" t="s">
        <v>93</v>
      </c>
      <c r="B55" s="93">
        <v>450</v>
      </c>
      <c r="C55" s="85"/>
      <c r="D55" s="85"/>
      <c r="E55" s="95" t="s">
        <v>93</v>
      </c>
      <c r="F55" s="312">
        <v>34</v>
      </c>
      <c r="G55" s="876"/>
      <c r="H55" s="876"/>
      <c r="I55" s="876"/>
      <c r="J55" s="876"/>
      <c r="K55" s="876"/>
      <c r="L55" s="876"/>
      <c r="M55" s="876"/>
      <c r="N55" s="876"/>
      <c r="O55" s="876"/>
    </row>
    <row r="56" spans="1:15">
      <c r="A56" s="95" t="s">
        <v>94</v>
      </c>
      <c r="B56" s="93">
        <v>939</v>
      </c>
      <c r="C56" s="85"/>
      <c r="D56" s="85"/>
      <c r="E56" s="95" t="s">
        <v>94</v>
      </c>
      <c r="F56" s="312">
        <v>90</v>
      </c>
      <c r="G56" s="876"/>
      <c r="H56" s="876"/>
      <c r="I56" s="876"/>
      <c r="J56" s="876"/>
      <c r="K56" s="876"/>
      <c r="L56" s="876"/>
      <c r="M56" s="876"/>
      <c r="N56" s="876"/>
      <c r="O56" s="876"/>
    </row>
    <row r="57" spans="1:15">
      <c r="A57" s="95" t="s">
        <v>95</v>
      </c>
      <c r="B57" s="93">
        <v>2588</v>
      </c>
      <c r="C57" s="85"/>
      <c r="D57" s="85"/>
      <c r="E57" s="95" t="s">
        <v>95</v>
      </c>
      <c r="F57" s="312">
        <v>324</v>
      </c>
      <c r="G57" s="876"/>
      <c r="H57" s="876"/>
      <c r="I57" s="876"/>
      <c r="J57" s="876"/>
      <c r="K57" s="876"/>
      <c r="L57" s="876"/>
      <c r="M57" s="876"/>
      <c r="N57" s="876"/>
      <c r="O57" s="876"/>
    </row>
    <row r="58" spans="1:15">
      <c r="A58" s="95" t="s">
        <v>96</v>
      </c>
      <c r="B58" s="93">
        <v>504</v>
      </c>
      <c r="C58" s="85"/>
      <c r="D58" s="85"/>
      <c r="E58" s="95" t="s">
        <v>96</v>
      </c>
      <c r="F58" s="312">
        <v>49</v>
      </c>
      <c r="G58" s="876"/>
      <c r="H58" s="876"/>
      <c r="I58" s="876"/>
      <c r="J58" s="876"/>
      <c r="K58" s="876"/>
      <c r="L58" s="876"/>
      <c r="M58" s="876"/>
      <c r="N58" s="876"/>
      <c r="O58" s="876"/>
    </row>
    <row r="59" spans="1:15">
      <c r="A59" s="95" t="s">
        <v>97</v>
      </c>
      <c r="B59" s="93">
        <v>507</v>
      </c>
      <c r="C59" s="85"/>
      <c r="D59" s="85"/>
      <c r="E59" s="95" t="s">
        <v>97</v>
      </c>
      <c r="F59" s="312">
        <v>55</v>
      </c>
      <c r="G59" s="876"/>
      <c r="H59" s="876"/>
      <c r="I59" s="876"/>
      <c r="J59" s="876"/>
      <c r="K59" s="876"/>
      <c r="L59" s="876"/>
      <c r="M59" s="876"/>
      <c r="N59" s="876"/>
      <c r="O59" s="876"/>
    </row>
    <row r="60" spans="1:15">
      <c r="A60" s="95" t="s">
        <v>98</v>
      </c>
      <c r="B60" s="93">
        <v>1628</v>
      </c>
      <c r="C60" s="85"/>
      <c r="D60" s="85"/>
      <c r="E60" s="95" t="s">
        <v>98</v>
      </c>
      <c r="F60" s="312">
        <v>194</v>
      </c>
      <c r="G60" s="876"/>
      <c r="H60" s="876"/>
      <c r="I60" s="876"/>
      <c r="J60" s="876"/>
      <c r="K60" s="876"/>
      <c r="L60" s="876"/>
      <c r="M60" s="876"/>
      <c r="N60" s="876"/>
      <c r="O60" s="876"/>
    </row>
    <row r="61" spans="1:15">
      <c r="A61" s="95" t="s">
        <v>99</v>
      </c>
      <c r="B61" s="93">
        <v>5610</v>
      </c>
      <c r="C61" s="85"/>
      <c r="D61" s="85"/>
      <c r="E61" s="95" t="s">
        <v>99</v>
      </c>
      <c r="F61" s="312">
        <v>778</v>
      </c>
      <c r="G61" s="876"/>
      <c r="H61" s="876"/>
      <c r="I61" s="876"/>
      <c r="J61" s="876"/>
      <c r="K61" s="876"/>
      <c r="L61" s="876"/>
      <c r="M61" s="876"/>
      <c r="N61" s="876"/>
      <c r="O61" s="876"/>
    </row>
    <row r="62" spans="1:15">
      <c r="A62" s="95" t="s">
        <v>100</v>
      </c>
      <c r="B62" s="93">
        <v>306</v>
      </c>
      <c r="C62" s="85"/>
      <c r="D62" s="85"/>
      <c r="E62" s="95" t="s">
        <v>100</v>
      </c>
      <c r="F62" s="312">
        <v>19</v>
      </c>
      <c r="G62" s="876"/>
      <c r="H62" s="876"/>
      <c r="I62" s="876"/>
      <c r="J62" s="876"/>
      <c r="K62" s="876"/>
      <c r="L62" s="876"/>
      <c r="M62" s="876"/>
      <c r="N62" s="876"/>
      <c r="O62" s="876"/>
    </row>
    <row r="63" spans="1:15">
      <c r="A63" s="95" t="s">
        <v>101</v>
      </c>
      <c r="B63" s="93">
        <v>223</v>
      </c>
      <c r="C63" s="85"/>
      <c r="D63" s="85"/>
      <c r="E63" s="95" t="s">
        <v>101</v>
      </c>
      <c r="F63" s="312">
        <v>4</v>
      </c>
      <c r="G63" s="876"/>
      <c r="H63" s="876"/>
      <c r="I63" s="876"/>
      <c r="J63" s="876"/>
      <c r="K63" s="876"/>
      <c r="L63" s="876"/>
      <c r="M63" s="876"/>
      <c r="N63" s="876"/>
      <c r="O63" s="876"/>
    </row>
    <row r="64" spans="1:15">
      <c r="A64" s="95" t="s">
        <v>102</v>
      </c>
      <c r="B64" s="93">
        <v>2131</v>
      </c>
      <c r="C64" s="85"/>
      <c r="D64" s="85"/>
      <c r="E64" s="95" t="s">
        <v>102</v>
      </c>
      <c r="F64" s="312">
        <v>313</v>
      </c>
      <c r="G64" s="876"/>
      <c r="H64" s="876"/>
      <c r="I64" s="876"/>
      <c r="J64" s="876"/>
      <c r="K64" s="876"/>
      <c r="L64" s="876"/>
      <c r="M64" s="876"/>
      <c r="N64" s="876"/>
      <c r="O64" s="876"/>
    </row>
    <row r="65" spans="1:15">
      <c r="A65" s="95" t="s">
        <v>103</v>
      </c>
      <c r="B65" s="93">
        <v>360</v>
      </c>
      <c r="C65" s="85"/>
      <c r="D65" s="85"/>
      <c r="E65" s="95" t="s">
        <v>103</v>
      </c>
      <c r="F65" s="312">
        <v>43</v>
      </c>
      <c r="G65" s="876"/>
      <c r="H65" s="876"/>
      <c r="I65" s="876"/>
      <c r="J65" s="876"/>
      <c r="K65" s="876"/>
      <c r="L65" s="876"/>
      <c r="M65" s="876"/>
      <c r="N65" s="876"/>
      <c r="O65" s="876"/>
    </row>
    <row r="66" spans="1:15">
      <c r="A66" s="95" t="s">
        <v>104</v>
      </c>
      <c r="B66" s="93">
        <v>1793</v>
      </c>
      <c r="C66" s="85"/>
      <c r="D66" s="85"/>
      <c r="E66" s="95" t="s">
        <v>104</v>
      </c>
      <c r="F66" s="312">
        <v>229</v>
      </c>
      <c r="G66" s="876"/>
      <c r="H66" s="876"/>
      <c r="I66" s="882"/>
      <c r="J66" s="876"/>
      <c r="K66" s="876"/>
      <c r="L66" s="876"/>
      <c r="M66" s="876"/>
      <c r="N66" s="876"/>
      <c r="O66" s="876"/>
    </row>
    <row r="67" spans="1:15">
      <c r="A67" s="95" t="s">
        <v>105</v>
      </c>
      <c r="B67" s="93">
        <v>111</v>
      </c>
      <c r="C67" s="85"/>
      <c r="D67" s="85"/>
      <c r="E67" s="95" t="s">
        <v>105</v>
      </c>
      <c r="F67" s="312">
        <v>12</v>
      </c>
      <c r="G67" s="876"/>
      <c r="H67" s="876"/>
      <c r="I67" s="876"/>
      <c r="J67" s="876"/>
      <c r="K67" s="876"/>
      <c r="L67" s="876"/>
      <c r="M67" s="876"/>
      <c r="N67" s="876"/>
      <c r="O67" s="876"/>
    </row>
    <row r="68" spans="1:15">
      <c r="A68" s="95" t="s">
        <v>106</v>
      </c>
      <c r="B68" s="93">
        <v>1001</v>
      </c>
      <c r="C68" s="85"/>
      <c r="D68" s="85"/>
      <c r="E68" s="95" t="s">
        <v>106</v>
      </c>
      <c r="F68" s="312">
        <v>112</v>
      </c>
      <c r="G68" s="876"/>
      <c r="H68" s="876"/>
      <c r="I68" s="876"/>
      <c r="J68" s="876"/>
      <c r="K68" s="876"/>
      <c r="L68" s="876"/>
      <c r="M68" s="876"/>
      <c r="N68" s="876"/>
      <c r="O68" s="876"/>
    </row>
    <row r="69" spans="1:15">
      <c r="A69" s="95" t="s">
        <v>107</v>
      </c>
      <c r="B69" s="93">
        <v>451</v>
      </c>
      <c r="C69" s="85"/>
      <c r="D69" s="85"/>
      <c r="E69" s="95" t="s">
        <v>107</v>
      </c>
      <c r="F69" s="312">
        <v>42</v>
      </c>
      <c r="G69" s="876"/>
      <c r="H69" s="876"/>
      <c r="I69" s="876"/>
      <c r="J69" s="876"/>
      <c r="K69" s="876"/>
      <c r="L69" s="876"/>
      <c r="M69" s="876"/>
      <c r="N69" s="876"/>
      <c r="O69" s="876"/>
    </row>
    <row r="70" spans="1:15">
      <c r="A70" s="96" t="s">
        <v>108</v>
      </c>
      <c r="B70" s="94">
        <v>11757</v>
      </c>
      <c r="C70" s="85"/>
      <c r="D70" s="85"/>
      <c r="E70" s="96" t="s">
        <v>108</v>
      </c>
      <c r="F70" s="313">
        <v>1231</v>
      </c>
      <c r="G70" s="876"/>
      <c r="H70" s="876"/>
      <c r="I70" s="876"/>
      <c r="J70" s="876"/>
      <c r="K70" s="876"/>
      <c r="L70" s="876"/>
      <c r="M70" s="876"/>
      <c r="N70" s="876"/>
      <c r="O70" s="876"/>
    </row>
    <row r="71" spans="1:15">
      <c r="A71" s="95" t="s">
        <v>109</v>
      </c>
      <c r="B71" s="97">
        <f>SUM(B55:B70)</f>
        <v>30359</v>
      </c>
      <c r="C71" s="85"/>
      <c r="D71" s="85"/>
      <c r="E71" s="95" t="s">
        <v>109</v>
      </c>
      <c r="F71" s="98">
        <f>SUM(F55:F70)</f>
        <v>3529</v>
      </c>
      <c r="G71" s="876"/>
      <c r="H71" s="876"/>
      <c r="I71" s="876"/>
      <c r="J71" s="876"/>
      <c r="K71" s="876"/>
      <c r="L71" s="876"/>
      <c r="M71" s="876"/>
      <c r="N71" s="876"/>
      <c r="O71" s="876"/>
    </row>
    <row r="72" spans="1:15">
      <c r="A72" s="876"/>
      <c r="B72" s="876"/>
      <c r="C72" s="876"/>
      <c r="D72" s="876"/>
      <c r="E72" s="876"/>
      <c r="F72" s="876"/>
      <c r="G72" s="876"/>
      <c r="H72" s="876"/>
      <c r="I72" s="876"/>
      <c r="J72" s="876"/>
      <c r="K72" s="876"/>
      <c r="L72" s="876"/>
      <c r="M72" s="876"/>
      <c r="N72" s="876"/>
      <c r="O72" s="876"/>
    </row>
    <row r="73" spans="1:15">
      <c r="A73" s="876"/>
      <c r="B73" s="876"/>
      <c r="C73" s="876"/>
      <c r="D73" s="876"/>
      <c r="E73" s="876"/>
      <c r="F73" s="876"/>
      <c r="G73" s="876"/>
      <c r="H73" s="876"/>
      <c r="I73" s="876"/>
      <c r="J73" s="876"/>
      <c r="K73" s="876"/>
      <c r="L73" s="876"/>
      <c r="M73" s="876"/>
      <c r="N73" s="876"/>
      <c r="O73" s="876"/>
    </row>
    <row r="74" spans="1:15" ht="15.75">
      <c r="A74" s="7" t="s">
        <v>519</v>
      </c>
      <c r="B74" s="891"/>
      <c r="C74" s="891"/>
      <c r="D74" s="891"/>
      <c r="E74" s="891"/>
      <c r="F74" s="891"/>
      <c r="G74"/>
      <c r="H74" s="876"/>
      <c r="I74" s="876"/>
      <c r="J74" s="876"/>
      <c r="K74" s="876"/>
      <c r="L74" s="876"/>
      <c r="M74" s="876"/>
      <c r="N74" s="876"/>
      <c r="O74" s="876"/>
    </row>
    <row r="75" spans="1:15" ht="15.75" thickBot="1">
      <c r="A75" s="315" t="s">
        <v>594</v>
      </c>
      <c r="B75" s="100" t="s">
        <v>377</v>
      </c>
      <c r="C75" s="100" t="s">
        <v>381</v>
      </c>
      <c r="D75" s="100" t="s">
        <v>378</v>
      </c>
      <c r="E75" s="100" t="s">
        <v>379</v>
      </c>
      <c r="F75" s="100" t="s">
        <v>380</v>
      </c>
      <c r="G75" s="876"/>
      <c r="H75" s="876"/>
      <c r="I75" s="876"/>
      <c r="J75" s="876"/>
      <c r="K75" s="876"/>
      <c r="L75" s="85" t="s">
        <v>545</v>
      </c>
      <c r="M75" s="85"/>
      <c r="N75" s="85"/>
      <c r="O75" s="876"/>
    </row>
    <row r="76" spans="1:15" ht="16.5" thickTop="1" thickBot="1">
      <c r="A76" s="95" t="s">
        <v>93</v>
      </c>
      <c r="B76" s="664">
        <v>12</v>
      </c>
      <c r="C76" s="664">
        <v>283</v>
      </c>
      <c r="D76" s="664">
        <v>83</v>
      </c>
      <c r="E76" s="664">
        <v>56</v>
      </c>
      <c r="F76" s="664">
        <v>16</v>
      </c>
      <c r="G76" s="876"/>
      <c r="H76" s="876"/>
      <c r="I76" s="876"/>
      <c r="J76" s="876"/>
      <c r="K76" s="876"/>
      <c r="L76" s="101">
        <v>0</v>
      </c>
      <c r="M76" s="85"/>
      <c r="N76" s="85"/>
      <c r="O76" s="876"/>
    </row>
    <row r="77" spans="1:15" ht="16.5" thickTop="1" thickBot="1">
      <c r="A77" s="95" t="s">
        <v>94</v>
      </c>
      <c r="B77" s="665">
        <v>56</v>
      </c>
      <c r="C77" s="665">
        <v>612</v>
      </c>
      <c r="D77" s="665">
        <v>146</v>
      </c>
      <c r="E77" s="665">
        <v>89</v>
      </c>
      <c r="F77" s="665">
        <v>36</v>
      </c>
      <c r="G77" s="876"/>
      <c r="H77" s="876"/>
      <c r="I77" s="876"/>
      <c r="J77" s="876"/>
      <c r="K77" s="876"/>
      <c r="L77" s="101">
        <v>0</v>
      </c>
      <c r="M77" s="85"/>
      <c r="N77" s="85"/>
      <c r="O77" s="876"/>
    </row>
    <row r="78" spans="1:15" ht="16.5" thickTop="1" thickBot="1">
      <c r="A78" s="95" t="s">
        <v>95</v>
      </c>
      <c r="B78" s="665">
        <v>190</v>
      </c>
      <c r="C78" s="665">
        <v>1810</v>
      </c>
      <c r="D78" s="665">
        <v>310</v>
      </c>
      <c r="E78" s="665">
        <v>217</v>
      </c>
      <c r="F78" s="665">
        <v>61</v>
      </c>
      <c r="G78" s="876"/>
      <c r="H78" s="876"/>
      <c r="I78" s="876"/>
      <c r="J78" s="876"/>
      <c r="K78" s="876"/>
      <c r="L78" s="101">
        <v>0</v>
      </c>
      <c r="M78" s="85"/>
      <c r="N78" s="85"/>
      <c r="O78" s="876"/>
    </row>
    <row r="79" spans="1:15" ht="16.5" thickTop="1" thickBot="1">
      <c r="A79" s="95" t="s">
        <v>96</v>
      </c>
      <c r="B79" s="665">
        <v>38</v>
      </c>
      <c r="C79" s="665">
        <v>304</v>
      </c>
      <c r="D79" s="665">
        <v>83</v>
      </c>
      <c r="E79" s="665">
        <v>52</v>
      </c>
      <c r="F79" s="665">
        <v>27</v>
      </c>
      <c r="G79" s="876"/>
      <c r="H79" s="876"/>
      <c r="I79" s="876"/>
      <c r="J79" s="876"/>
      <c r="K79" s="876"/>
      <c r="L79" s="101">
        <v>0</v>
      </c>
      <c r="M79" s="85"/>
      <c r="N79" s="85"/>
      <c r="O79" s="876"/>
    </row>
    <row r="80" spans="1:15" ht="16.5" thickTop="1" thickBot="1">
      <c r="A80" s="95" t="s">
        <v>97</v>
      </c>
      <c r="B80" s="665">
        <v>37</v>
      </c>
      <c r="C80" s="665">
        <v>348</v>
      </c>
      <c r="D80" s="665">
        <v>55</v>
      </c>
      <c r="E80" s="665">
        <v>46</v>
      </c>
      <c r="F80" s="665">
        <v>21</v>
      </c>
      <c r="G80" s="876"/>
      <c r="H80" s="876"/>
      <c r="I80" s="876"/>
      <c r="J80" s="876"/>
      <c r="K80" s="876"/>
      <c r="L80" s="101">
        <v>0</v>
      </c>
      <c r="M80" s="85"/>
      <c r="N80" s="85"/>
      <c r="O80" s="876"/>
    </row>
    <row r="81" spans="1:15" ht="16.5" thickTop="1" thickBot="1">
      <c r="A81" s="95" t="s">
        <v>98</v>
      </c>
      <c r="B81" s="665">
        <v>108</v>
      </c>
      <c r="C81" s="665">
        <v>1151</v>
      </c>
      <c r="D81" s="665">
        <v>185</v>
      </c>
      <c r="E81" s="665">
        <v>138</v>
      </c>
      <c r="F81" s="665">
        <v>46</v>
      </c>
      <c r="G81" s="876"/>
      <c r="H81" s="876"/>
      <c r="I81" s="876"/>
      <c r="J81" s="876"/>
      <c r="K81" s="876"/>
      <c r="L81" s="101">
        <v>0</v>
      </c>
      <c r="M81" s="85"/>
      <c r="N81" s="85"/>
      <c r="O81" s="876"/>
    </row>
    <row r="82" spans="1:15" ht="16.5" thickTop="1" thickBot="1">
      <c r="A82" s="95" t="s">
        <v>99</v>
      </c>
      <c r="B82" s="665">
        <v>535</v>
      </c>
      <c r="C82" s="665">
        <v>4202</v>
      </c>
      <c r="D82" s="665">
        <v>503</v>
      </c>
      <c r="E82" s="665">
        <v>288</v>
      </c>
      <c r="F82" s="665">
        <v>82</v>
      </c>
      <c r="G82" s="876"/>
      <c r="H82" s="876"/>
      <c r="I82" s="876"/>
      <c r="J82" s="876"/>
      <c r="K82" s="876"/>
      <c r="L82" s="101">
        <v>0</v>
      </c>
      <c r="M82" s="85"/>
      <c r="N82" s="85"/>
      <c r="O82" s="876"/>
    </row>
    <row r="83" spans="1:15" ht="16.5" thickTop="1" thickBot="1">
      <c r="A83" s="95" t="s">
        <v>100</v>
      </c>
      <c r="B83" s="665">
        <v>15</v>
      </c>
      <c r="C83" s="665">
        <v>165</v>
      </c>
      <c r="D83" s="665">
        <v>70</v>
      </c>
      <c r="E83" s="665">
        <v>31</v>
      </c>
      <c r="F83" s="665">
        <v>25</v>
      </c>
      <c r="G83" s="876"/>
      <c r="H83" s="876"/>
      <c r="I83" s="876"/>
      <c r="J83" s="876"/>
      <c r="K83" s="876"/>
      <c r="L83" s="101">
        <v>0</v>
      </c>
      <c r="M83" s="85"/>
      <c r="N83" s="85"/>
      <c r="O83" s="876"/>
    </row>
    <row r="84" spans="1:15" ht="16.5" thickTop="1" thickBot="1">
      <c r="A84" s="95" t="s">
        <v>101</v>
      </c>
      <c r="B84" s="665">
        <v>6</v>
      </c>
      <c r="C84" s="665">
        <v>134</v>
      </c>
      <c r="D84" s="665">
        <v>35</v>
      </c>
      <c r="E84" s="665">
        <v>35</v>
      </c>
      <c r="F84" s="665">
        <v>13</v>
      </c>
      <c r="G84" s="876"/>
      <c r="H84" s="876"/>
      <c r="I84" s="876"/>
      <c r="J84" s="876"/>
      <c r="K84" s="876"/>
      <c r="L84" s="101">
        <v>0</v>
      </c>
      <c r="M84" s="85"/>
      <c r="N84" s="85"/>
      <c r="O84" s="876"/>
    </row>
    <row r="85" spans="1:15" ht="16.5" thickTop="1" thickBot="1">
      <c r="A85" s="95" t="s">
        <v>102</v>
      </c>
      <c r="B85" s="665">
        <v>204</v>
      </c>
      <c r="C85" s="665">
        <v>1512</v>
      </c>
      <c r="D85" s="665">
        <v>230</v>
      </c>
      <c r="E85" s="665">
        <v>149</v>
      </c>
      <c r="F85" s="665">
        <v>36</v>
      </c>
      <c r="G85" s="876"/>
      <c r="H85" s="876"/>
      <c r="I85" s="876"/>
      <c r="J85" s="876"/>
      <c r="K85" s="876"/>
      <c r="L85" s="101">
        <v>0</v>
      </c>
      <c r="M85" s="85"/>
      <c r="N85" s="85"/>
      <c r="O85" s="876"/>
    </row>
    <row r="86" spans="1:15" ht="16.5" thickTop="1" thickBot="1">
      <c r="A86" s="95" t="s">
        <v>103</v>
      </c>
      <c r="B86" s="665">
        <v>15</v>
      </c>
      <c r="C86" s="665">
        <v>240</v>
      </c>
      <c r="D86" s="665">
        <v>49</v>
      </c>
      <c r="E86" s="665">
        <v>43</v>
      </c>
      <c r="F86" s="665">
        <v>13</v>
      </c>
      <c r="G86" s="876"/>
      <c r="H86" s="876"/>
      <c r="I86" s="876"/>
      <c r="J86" s="876"/>
      <c r="K86" s="876"/>
      <c r="L86" s="101">
        <v>0</v>
      </c>
      <c r="M86" s="85"/>
      <c r="N86" s="85"/>
      <c r="O86" s="876"/>
    </row>
    <row r="87" spans="1:15" ht="16.5" thickTop="1" thickBot="1">
      <c r="A87" s="95" t="s">
        <v>104</v>
      </c>
      <c r="B87" s="665">
        <v>115</v>
      </c>
      <c r="C87" s="665">
        <v>1205</v>
      </c>
      <c r="D87" s="665">
        <v>251</v>
      </c>
      <c r="E87" s="665">
        <v>142</v>
      </c>
      <c r="F87" s="665">
        <v>80</v>
      </c>
      <c r="G87" s="876"/>
      <c r="H87" s="876"/>
      <c r="I87" s="876"/>
      <c r="J87" s="876"/>
      <c r="K87" s="876"/>
      <c r="L87" s="101">
        <v>0</v>
      </c>
      <c r="M87" s="85"/>
      <c r="N87" s="85"/>
      <c r="O87" s="876"/>
    </row>
    <row r="88" spans="1:15" ht="16.5" thickTop="1" thickBot="1">
      <c r="A88" s="95" t="s">
        <v>105</v>
      </c>
      <c r="B88" s="666">
        <v>11</v>
      </c>
      <c r="C88" s="665">
        <v>62</v>
      </c>
      <c r="D88" s="665">
        <v>20</v>
      </c>
      <c r="E88" s="665">
        <v>14</v>
      </c>
      <c r="F88" s="665">
        <v>4</v>
      </c>
      <c r="G88" s="876"/>
      <c r="H88" s="876"/>
      <c r="I88" s="876"/>
      <c r="J88" s="876"/>
      <c r="K88" s="876"/>
      <c r="L88" s="101">
        <v>0</v>
      </c>
      <c r="M88" s="85"/>
      <c r="N88" s="85"/>
      <c r="O88" s="876"/>
    </row>
    <row r="89" spans="1:15" ht="16.5" thickTop="1" thickBot="1">
      <c r="A89" s="95" t="s">
        <v>106</v>
      </c>
      <c r="B89" s="665">
        <v>64</v>
      </c>
      <c r="C89" s="665">
        <v>656</v>
      </c>
      <c r="D89" s="665">
        <v>155</v>
      </c>
      <c r="E89" s="665">
        <v>97</v>
      </c>
      <c r="F89" s="665">
        <v>29</v>
      </c>
      <c r="G89" s="876"/>
      <c r="H89" s="876"/>
      <c r="I89" s="876"/>
      <c r="J89" s="876"/>
      <c r="K89" s="876"/>
      <c r="L89" s="101">
        <v>0</v>
      </c>
      <c r="M89" s="85"/>
      <c r="N89" s="85"/>
      <c r="O89" s="876"/>
    </row>
    <row r="90" spans="1:15" ht="16.5" thickTop="1" thickBot="1">
      <c r="A90" s="95" t="s">
        <v>107</v>
      </c>
      <c r="B90" s="665">
        <v>46</v>
      </c>
      <c r="C90" s="665">
        <v>281</v>
      </c>
      <c r="D90" s="665">
        <v>64</v>
      </c>
      <c r="E90" s="665">
        <v>34</v>
      </c>
      <c r="F90" s="665">
        <v>26</v>
      </c>
      <c r="G90" s="876"/>
      <c r="H90" s="876"/>
      <c r="I90" s="876"/>
      <c r="J90" s="876"/>
      <c r="K90" s="876"/>
      <c r="L90" s="101">
        <v>0</v>
      </c>
      <c r="M90" s="85"/>
      <c r="N90" s="85"/>
      <c r="O90" s="876"/>
    </row>
    <row r="91" spans="1:15" ht="16.5" thickTop="1" thickBot="1">
      <c r="A91" s="96" t="s">
        <v>108</v>
      </c>
      <c r="B91" s="667">
        <v>653</v>
      </c>
      <c r="C91" s="667">
        <v>8049</v>
      </c>
      <c r="D91" s="667">
        <v>1564</v>
      </c>
      <c r="E91" s="667">
        <v>1095</v>
      </c>
      <c r="F91" s="667">
        <v>396</v>
      </c>
      <c r="G91" s="876"/>
      <c r="H91" s="876"/>
      <c r="I91" s="876"/>
      <c r="J91" s="876"/>
      <c r="K91" s="876"/>
      <c r="L91" s="102">
        <v>0</v>
      </c>
      <c r="M91" s="85"/>
      <c r="N91" s="85"/>
      <c r="O91" s="876"/>
    </row>
    <row r="92" spans="1:15" ht="16.5" thickTop="1" thickBot="1">
      <c r="A92" s="95" t="s">
        <v>109</v>
      </c>
      <c r="B92" s="98">
        <f>SUM(B76:B91)</f>
        <v>2105</v>
      </c>
      <c r="C92" s="98">
        <f>SUM(C76:C91)</f>
        <v>21014</v>
      </c>
      <c r="D92" s="98">
        <f>SUM(D76:D91)</f>
        <v>3803</v>
      </c>
      <c r="E92" s="98">
        <f>SUM(E76:E91)</f>
        <v>2526</v>
      </c>
      <c r="F92" s="98">
        <f>SUM(F76:F91)</f>
        <v>911</v>
      </c>
      <c r="G92" s="876"/>
      <c r="H92" s="876"/>
      <c r="I92" s="876"/>
      <c r="J92" s="876"/>
      <c r="K92" s="17"/>
      <c r="L92" s="101">
        <v>0</v>
      </c>
      <c r="M92" s="101">
        <v>0</v>
      </c>
      <c r="N92" s="876"/>
      <c r="O92" s="27"/>
    </row>
    <row r="93" spans="1:15" ht="15.75" thickTop="1">
      <c r="A93" s="876"/>
      <c r="B93" s="876"/>
      <c r="C93" s="876"/>
      <c r="D93" s="876"/>
      <c r="E93" s="876"/>
      <c r="F93" s="876"/>
      <c r="G93" s="876"/>
      <c r="H93" s="876"/>
      <c r="I93" s="876"/>
      <c r="J93" s="876"/>
      <c r="K93" s="876"/>
      <c r="L93" s="876"/>
      <c r="M93" s="876"/>
      <c r="N93" s="876"/>
      <c r="O93" s="876"/>
    </row>
    <row r="94" spans="1:15">
      <c r="A94" s="876"/>
      <c r="B94" s="876"/>
      <c r="C94" s="876"/>
      <c r="D94" s="876"/>
      <c r="E94" s="876"/>
      <c r="F94" s="876"/>
      <c r="G94" s="876"/>
      <c r="H94" s="876"/>
      <c r="I94" s="876"/>
      <c r="J94" s="876"/>
      <c r="K94" s="876"/>
      <c r="L94" s="876"/>
      <c r="M94" s="876"/>
      <c r="N94" s="876"/>
      <c r="O94" s="876"/>
    </row>
    <row r="98" spans="1:13" ht="15.75" thickBot="1">
      <c r="A98" s="876"/>
      <c r="B98" s="876"/>
      <c r="C98" s="876"/>
      <c r="D98" s="876"/>
      <c r="E98" s="876"/>
      <c r="F98" s="876"/>
      <c r="G98" s="876"/>
      <c r="H98" s="876"/>
      <c r="I98" s="876"/>
      <c r="J98" s="876"/>
      <c r="K98" s="876"/>
      <c r="L98" s="876"/>
      <c r="M98" s="876"/>
    </row>
    <row r="99" spans="1:13" s="498" customFormat="1" ht="15.75" thickBot="1">
      <c r="A99" s="922"/>
      <c r="B99" s="923"/>
      <c r="C99" s="923"/>
      <c r="D99" s="923"/>
      <c r="E99" s="923"/>
      <c r="F99" s="923"/>
      <c r="G99" s="923"/>
      <c r="H99" s="923"/>
      <c r="I99" s="923"/>
      <c r="J99" s="923"/>
      <c r="K99" s="923"/>
      <c r="L99" s="923"/>
      <c r="M99" s="923"/>
    </row>
    <row r="100" spans="1:13">
      <c r="A100" s="876"/>
      <c r="B100" s="876"/>
      <c r="C100" s="876"/>
      <c r="D100" s="876"/>
      <c r="E100" s="876"/>
      <c r="F100" s="876"/>
      <c r="G100" s="876"/>
      <c r="H100" s="876"/>
      <c r="I100" s="876"/>
      <c r="J100" s="876"/>
      <c r="K100" s="876"/>
      <c r="L100" s="876"/>
      <c r="M100" s="876"/>
    </row>
    <row r="101" spans="1:13">
      <c r="A101" s="876"/>
      <c r="B101" s="876"/>
      <c r="C101" s="876"/>
      <c r="D101" s="876"/>
      <c r="E101" s="876"/>
      <c r="F101" s="876"/>
      <c r="G101" s="876"/>
      <c r="H101" s="876"/>
      <c r="I101" s="876"/>
      <c r="J101" s="876"/>
      <c r="K101" s="876"/>
      <c r="L101" s="876"/>
      <c r="M101" s="876"/>
    </row>
    <row r="102" spans="1:13">
      <c r="A102" s="671" t="s">
        <v>595</v>
      </c>
      <c r="B102" s="670"/>
      <c r="C102" s="670"/>
      <c r="D102" s="670"/>
      <c r="E102" s="670"/>
      <c r="F102" s="671"/>
      <c r="G102" s="692"/>
      <c r="H102" s="692"/>
      <c r="I102" s="692"/>
      <c r="J102" s="692"/>
      <c r="K102" s="692"/>
      <c r="L102" s="692"/>
      <c r="M102" s="876"/>
    </row>
    <row r="103" spans="1:13" ht="15.75" thickBot="1">
      <c r="A103" s="672" t="s">
        <v>596</v>
      </c>
      <c r="B103" s="670"/>
      <c r="C103" s="670"/>
      <c r="D103" s="670"/>
      <c r="E103" s="670"/>
      <c r="F103" s="670"/>
      <c r="G103" s="670"/>
      <c r="H103" s="670"/>
      <c r="I103" s="670"/>
      <c r="J103" s="670"/>
      <c r="K103" s="670"/>
      <c r="L103" s="670"/>
      <c r="M103" s="486"/>
    </row>
    <row r="104" spans="1:13">
      <c r="A104" s="673" t="s">
        <v>283</v>
      </c>
      <c r="B104" s="683" t="s">
        <v>72</v>
      </c>
      <c r="C104" s="683"/>
      <c r="D104" s="1163" t="s">
        <v>597</v>
      </c>
      <c r="E104" s="1163"/>
      <c r="F104" s="1163"/>
      <c r="G104" s="1163"/>
      <c r="H104" s="1163"/>
      <c r="I104" s="673"/>
      <c r="J104" s="1163" t="s">
        <v>598</v>
      </c>
      <c r="K104" s="1163"/>
      <c r="L104" s="1163"/>
      <c r="M104" s="486"/>
    </row>
    <row r="105" spans="1:13">
      <c r="A105" s="674"/>
      <c r="B105" s="684"/>
      <c r="C105" s="684"/>
      <c r="D105" s="684" t="s">
        <v>377</v>
      </c>
      <c r="E105" s="685" t="s">
        <v>381</v>
      </c>
      <c r="F105" s="684" t="s">
        <v>378</v>
      </c>
      <c r="G105" s="684" t="s">
        <v>379</v>
      </c>
      <c r="H105" s="684" t="s">
        <v>380</v>
      </c>
      <c r="I105" s="686"/>
      <c r="J105" s="686" t="s">
        <v>599</v>
      </c>
      <c r="K105" s="687" t="s">
        <v>600</v>
      </c>
      <c r="L105" s="686" t="s">
        <v>601</v>
      </c>
      <c r="M105" s="486"/>
    </row>
    <row r="106" spans="1:13">
      <c r="A106" s="675" t="s">
        <v>602</v>
      </c>
      <c r="B106" s="671"/>
      <c r="C106" s="671"/>
      <c r="D106" s="676"/>
      <c r="E106" s="676"/>
      <c r="F106" s="676"/>
      <c r="G106" s="676"/>
      <c r="H106" s="676"/>
      <c r="I106" s="670"/>
      <c r="J106" s="670"/>
      <c r="K106" s="670"/>
      <c r="L106" s="670"/>
      <c r="M106" s="486"/>
    </row>
    <row r="107" spans="1:13">
      <c r="A107" s="671" t="s">
        <v>93</v>
      </c>
      <c r="B107" s="677">
        <v>436</v>
      </c>
      <c r="C107" s="677"/>
      <c r="D107" s="665">
        <v>16</v>
      </c>
      <c r="E107" s="665">
        <v>265</v>
      </c>
      <c r="F107" s="665">
        <v>82</v>
      </c>
      <c r="G107" s="665">
        <v>59</v>
      </c>
      <c r="H107" s="665">
        <v>14</v>
      </c>
      <c r="I107" s="677"/>
      <c r="J107" s="677">
        <v>14</v>
      </c>
      <c r="K107" s="677">
        <v>29</v>
      </c>
      <c r="L107" s="677">
        <v>393</v>
      </c>
      <c r="M107" s="486"/>
    </row>
    <row r="108" spans="1:13">
      <c r="A108" s="671" t="s">
        <v>94</v>
      </c>
      <c r="B108" s="677">
        <v>942</v>
      </c>
      <c r="C108" s="677"/>
      <c r="D108" s="665">
        <v>59</v>
      </c>
      <c r="E108" s="665">
        <v>603</v>
      </c>
      <c r="F108" s="665">
        <v>153</v>
      </c>
      <c r="G108" s="665">
        <v>94</v>
      </c>
      <c r="H108" s="665">
        <v>33</v>
      </c>
      <c r="I108" s="677"/>
      <c r="J108" s="677">
        <v>46</v>
      </c>
      <c r="K108" s="677">
        <v>87</v>
      </c>
      <c r="L108" s="677">
        <v>809</v>
      </c>
      <c r="M108" s="486"/>
    </row>
    <row r="109" spans="1:13">
      <c r="A109" s="671" t="s">
        <v>95</v>
      </c>
      <c r="B109" s="677">
        <v>2610</v>
      </c>
      <c r="C109" s="677"/>
      <c r="D109" s="665">
        <v>182</v>
      </c>
      <c r="E109" s="665">
        <v>1826</v>
      </c>
      <c r="F109" s="665">
        <v>315</v>
      </c>
      <c r="G109" s="665">
        <v>214</v>
      </c>
      <c r="H109" s="665">
        <v>73</v>
      </c>
      <c r="I109" s="677"/>
      <c r="J109" s="677">
        <v>151</v>
      </c>
      <c r="K109" s="677">
        <v>322</v>
      </c>
      <c r="L109" s="677">
        <v>2137</v>
      </c>
      <c r="M109" s="486"/>
    </row>
    <row r="110" spans="1:13">
      <c r="A110" s="671" t="s">
        <v>96</v>
      </c>
      <c r="B110" s="677">
        <v>509</v>
      </c>
      <c r="C110" s="677"/>
      <c r="D110" s="665">
        <v>31</v>
      </c>
      <c r="E110" s="665">
        <v>316</v>
      </c>
      <c r="F110" s="665">
        <v>80</v>
      </c>
      <c r="G110" s="665">
        <v>58</v>
      </c>
      <c r="H110" s="665">
        <v>24</v>
      </c>
      <c r="I110" s="677"/>
      <c r="J110" s="677">
        <v>27</v>
      </c>
      <c r="K110" s="677">
        <v>55</v>
      </c>
      <c r="L110" s="677">
        <v>427</v>
      </c>
      <c r="M110" s="486"/>
    </row>
    <row r="111" spans="1:13">
      <c r="A111" s="671" t="s">
        <v>97</v>
      </c>
      <c r="B111" s="677">
        <v>509</v>
      </c>
      <c r="C111" s="677"/>
      <c r="D111" s="665">
        <v>34</v>
      </c>
      <c r="E111" s="665">
        <v>344</v>
      </c>
      <c r="F111" s="665">
        <v>64</v>
      </c>
      <c r="G111" s="665">
        <v>46</v>
      </c>
      <c r="H111" s="665">
        <v>21</v>
      </c>
      <c r="I111" s="677"/>
      <c r="J111" s="677">
        <v>32</v>
      </c>
      <c r="K111" s="677">
        <v>56</v>
      </c>
      <c r="L111" s="677">
        <v>421</v>
      </c>
      <c r="M111" s="486"/>
    </row>
    <row r="112" spans="1:13">
      <c r="A112" s="671" t="s">
        <v>98</v>
      </c>
      <c r="B112" s="677">
        <v>1646</v>
      </c>
      <c r="C112" s="677"/>
      <c r="D112" s="665">
        <v>121</v>
      </c>
      <c r="E112" s="665">
        <v>1144</v>
      </c>
      <c r="F112" s="665">
        <v>181</v>
      </c>
      <c r="G112" s="665">
        <v>150</v>
      </c>
      <c r="H112" s="665">
        <v>50</v>
      </c>
      <c r="I112" s="677"/>
      <c r="J112" s="677">
        <v>105</v>
      </c>
      <c r="K112" s="677">
        <v>190</v>
      </c>
      <c r="L112" s="677">
        <v>1351</v>
      </c>
      <c r="M112" s="486"/>
    </row>
    <row r="113" spans="1:13">
      <c r="A113" s="671" t="s">
        <v>99</v>
      </c>
      <c r="B113" s="677">
        <v>5697</v>
      </c>
      <c r="C113" s="677"/>
      <c r="D113" s="665">
        <v>518</v>
      </c>
      <c r="E113" s="665">
        <v>4258</v>
      </c>
      <c r="F113" s="665">
        <v>512</v>
      </c>
      <c r="G113" s="665">
        <v>325</v>
      </c>
      <c r="H113" s="665">
        <v>84</v>
      </c>
      <c r="I113" s="677"/>
      <c r="J113" s="677">
        <v>443</v>
      </c>
      <c r="K113" s="677">
        <v>781</v>
      </c>
      <c r="L113" s="677">
        <v>4473</v>
      </c>
      <c r="M113" s="486"/>
    </row>
    <row r="114" spans="1:13">
      <c r="A114" s="671" t="s">
        <v>100</v>
      </c>
      <c r="B114" s="677">
        <v>290</v>
      </c>
      <c r="C114" s="677"/>
      <c r="D114" s="665">
        <v>13</v>
      </c>
      <c r="E114" s="665">
        <v>157</v>
      </c>
      <c r="F114" s="665">
        <v>64</v>
      </c>
      <c r="G114" s="665">
        <v>30</v>
      </c>
      <c r="H114" s="665">
        <v>26</v>
      </c>
      <c r="I114" s="677"/>
      <c r="J114" s="677">
        <v>10</v>
      </c>
      <c r="K114" s="677">
        <v>18</v>
      </c>
      <c r="L114" s="677">
        <v>262</v>
      </c>
      <c r="M114" s="486"/>
    </row>
    <row r="115" spans="1:13">
      <c r="A115" s="671" t="s">
        <v>101</v>
      </c>
      <c r="B115" s="677">
        <v>225</v>
      </c>
      <c r="C115" s="677"/>
      <c r="D115" s="665">
        <v>9</v>
      </c>
      <c r="E115" s="665">
        <v>135</v>
      </c>
      <c r="F115" s="665">
        <v>31</v>
      </c>
      <c r="G115" s="665">
        <v>37</v>
      </c>
      <c r="H115" s="665">
        <v>13</v>
      </c>
      <c r="I115" s="677"/>
      <c r="J115" s="677">
        <v>9</v>
      </c>
      <c r="K115" s="677">
        <v>2</v>
      </c>
      <c r="L115" s="677">
        <v>214</v>
      </c>
      <c r="M115" s="486"/>
    </row>
    <row r="116" spans="1:13">
      <c r="A116" s="671" t="s">
        <v>102</v>
      </c>
      <c r="B116" s="677">
        <v>2127</v>
      </c>
      <c r="C116" s="677"/>
      <c r="D116" s="665">
        <v>192</v>
      </c>
      <c r="E116" s="665">
        <v>1517</v>
      </c>
      <c r="F116" s="665">
        <v>223</v>
      </c>
      <c r="G116" s="665">
        <v>162</v>
      </c>
      <c r="H116" s="665">
        <v>33</v>
      </c>
      <c r="I116" s="677"/>
      <c r="J116" s="677">
        <v>156</v>
      </c>
      <c r="K116" s="677">
        <v>322</v>
      </c>
      <c r="L116" s="677">
        <v>1649</v>
      </c>
      <c r="M116" s="486"/>
    </row>
    <row r="117" spans="1:13">
      <c r="A117" s="671" t="s">
        <v>103</v>
      </c>
      <c r="B117" s="677">
        <v>366</v>
      </c>
      <c r="C117" s="677"/>
      <c r="D117" s="665">
        <v>20</v>
      </c>
      <c r="E117" s="665">
        <v>238</v>
      </c>
      <c r="F117" s="665">
        <v>48</v>
      </c>
      <c r="G117" s="665">
        <v>45</v>
      </c>
      <c r="H117" s="665">
        <v>15</v>
      </c>
      <c r="I117" s="677"/>
      <c r="J117" s="677">
        <v>17</v>
      </c>
      <c r="K117" s="677">
        <v>35</v>
      </c>
      <c r="L117" s="677">
        <v>314</v>
      </c>
      <c r="M117" s="486"/>
    </row>
    <row r="118" spans="1:13">
      <c r="A118" s="671" t="s">
        <v>104</v>
      </c>
      <c r="B118" s="677">
        <v>1791</v>
      </c>
      <c r="C118" s="677"/>
      <c r="D118" s="665">
        <v>115</v>
      </c>
      <c r="E118" s="665">
        <v>1197</v>
      </c>
      <c r="F118" s="665">
        <v>247</v>
      </c>
      <c r="G118" s="665">
        <v>157</v>
      </c>
      <c r="H118" s="665">
        <v>75</v>
      </c>
      <c r="I118" s="677"/>
      <c r="J118" s="677">
        <v>94</v>
      </c>
      <c r="K118" s="677">
        <v>221</v>
      </c>
      <c r="L118" s="677">
        <v>1476</v>
      </c>
      <c r="M118" s="486"/>
    </row>
    <row r="119" spans="1:13">
      <c r="A119" s="671" t="s">
        <v>105</v>
      </c>
      <c r="B119" s="677">
        <v>115</v>
      </c>
      <c r="C119" s="677"/>
      <c r="D119" s="666">
        <v>7</v>
      </c>
      <c r="E119" s="665">
        <v>71</v>
      </c>
      <c r="F119" s="665">
        <v>18</v>
      </c>
      <c r="G119" s="665">
        <v>16</v>
      </c>
      <c r="H119" s="665">
        <v>3</v>
      </c>
      <c r="I119" s="677"/>
      <c r="J119" s="691">
        <v>6</v>
      </c>
      <c r="K119" s="677">
        <v>16</v>
      </c>
      <c r="L119" s="677">
        <v>93</v>
      </c>
      <c r="M119" s="486"/>
    </row>
    <row r="120" spans="1:13">
      <c r="A120" s="671" t="s">
        <v>106</v>
      </c>
      <c r="B120" s="677">
        <v>995</v>
      </c>
      <c r="C120" s="677"/>
      <c r="D120" s="665">
        <v>56</v>
      </c>
      <c r="E120" s="665">
        <v>662</v>
      </c>
      <c r="F120" s="665">
        <v>148</v>
      </c>
      <c r="G120" s="665">
        <v>98</v>
      </c>
      <c r="H120" s="665">
        <v>31</v>
      </c>
      <c r="I120" s="677"/>
      <c r="J120" s="677">
        <v>50</v>
      </c>
      <c r="K120" s="677">
        <v>101</v>
      </c>
      <c r="L120" s="677">
        <v>844</v>
      </c>
      <c r="M120" s="486"/>
    </row>
    <row r="121" spans="1:13">
      <c r="A121" s="671" t="s">
        <v>107</v>
      </c>
      <c r="B121" s="677">
        <v>471</v>
      </c>
      <c r="C121" s="677"/>
      <c r="D121" s="665">
        <v>47</v>
      </c>
      <c r="E121" s="665">
        <v>298</v>
      </c>
      <c r="F121" s="665">
        <v>63</v>
      </c>
      <c r="G121" s="665">
        <v>40</v>
      </c>
      <c r="H121" s="665">
        <v>23</v>
      </c>
      <c r="I121" s="677"/>
      <c r="J121" s="677">
        <v>43</v>
      </c>
      <c r="K121" s="677">
        <v>36</v>
      </c>
      <c r="L121" s="677">
        <v>392</v>
      </c>
      <c r="M121" s="486"/>
    </row>
    <row r="122" spans="1:13">
      <c r="A122" s="671" t="s">
        <v>108</v>
      </c>
      <c r="B122" s="677">
        <v>11812</v>
      </c>
      <c r="C122" s="677"/>
      <c r="D122" s="665">
        <v>623</v>
      </c>
      <c r="E122" s="665">
        <v>8083</v>
      </c>
      <c r="F122" s="665">
        <v>1548</v>
      </c>
      <c r="G122" s="665">
        <v>1148</v>
      </c>
      <c r="H122" s="665">
        <v>410</v>
      </c>
      <c r="I122" s="677"/>
      <c r="J122" s="677">
        <v>511</v>
      </c>
      <c r="K122" s="677">
        <v>1249</v>
      </c>
      <c r="L122" s="677">
        <v>10052</v>
      </c>
      <c r="M122" s="486"/>
    </row>
    <row r="123" spans="1:13">
      <c r="A123" s="671" t="s">
        <v>603</v>
      </c>
      <c r="B123" s="665">
        <v>18729</v>
      </c>
      <c r="C123" s="665"/>
      <c r="D123" s="665">
        <v>1420</v>
      </c>
      <c r="E123" s="665">
        <v>13031</v>
      </c>
      <c r="F123" s="665">
        <v>2229</v>
      </c>
      <c r="G123" s="665">
        <v>1531</v>
      </c>
      <c r="H123" s="665">
        <v>518</v>
      </c>
      <c r="I123" s="677"/>
      <c r="J123" s="665">
        <v>1203</v>
      </c>
      <c r="K123" s="665">
        <v>2271</v>
      </c>
      <c r="L123" s="665">
        <v>15255</v>
      </c>
      <c r="M123" s="486"/>
    </row>
    <row r="124" spans="1:13">
      <c r="A124" s="678" t="s">
        <v>604</v>
      </c>
      <c r="B124" s="665">
        <v>16683</v>
      </c>
      <c r="C124" s="665"/>
      <c r="D124" s="665">
        <v>1297</v>
      </c>
      <c r="E124" s="665">
        <v>11789</v>
      </c>
      <c r="F124" s="665">
        <v>1891</v>
      </c>
      <c r="G124" s="665">
        <v>1291</v>
      </c>
      <c r="H124" s="665">
        <v>415</v>
      </c>
      <c r="I124" s="677"/>
      <c r="J124" s="665">
        <v>1094</v>
      </c>
      <c r="K124" s="665">
        <v>2115</v>
      </c>
      <c r="L124" s="665">
        <v>13474</v>
      </c>
      <c r="M124" s="486"/>
    </row>
    <row r="125" spans="1:13">
      <c r="A125" s="678" t="s">
        <v>605</v>
      </c>
      <c r="B125" s="665">
        <v>2046</v>
      </c>
      <c r="C125" s="665"/>
      <c r="D125" s="665">
        <v>123</v>
      </c>
      <c r="E125" s="665">
        <v>1242</v>
      </c>
      <c r="F125" s="665">
        <v>338</v>
      </c>
      <c r="G125" s="665">
        <v>240</v>
      </c>
      <c r="H125" s="665">
        <v>103</v>
      </c>
      <c r="I125" s="677"/>
      <c r="J125" s="665">
        <v>109</v>
      </c>
      <c r="K125" s="665">
        <v>156</v>
      </c>
      <c r="L125" s="665">
        <v>1781</v>
      </c>
      <c r="M125" s="486"/>
    </row>
    <row r="126" spans="1:13">
      <c r="A126" s="675" t="s">
        <v>109</v>
      </c>
      <c r="B126" s="679">
        <v>30541</v>
      </c>
      <c r="C126" s="679"/>
      <c r="D126" s="679">
        <v>2043</v>
      </c>
      <c r="E126" s="679">
        <v>21114</v>
      </c>
      <c r="F126" s="679">
        <v>3777</v>
      </c>
      <c r="G126" s="679">
        <v>2679</v>
      </c>
      <c r="H126" s="679">
        <v>928</v>
      </c>
      <c r="I126" s="677"/>
      <c r="J126" s="679">
        <v>1714</v>
      </c>
      <c r="K126" s="679">
        <v>3520</v>
      </c>
      <c r="L126" s="679">
        <v>25307</v>
      </c>
      <c r="M126" s="486"/>
    </row>
    <row r="127" spans="1:13">
      <c r="A127" s="675" t="s">
        <v>606</v>
      </c>
      <c r="B127" s="671"/>
      <c r="C127" s="671"/>
      <c r="D127" s="676"/>
      <c r="E127" s="676"/>
      <c r="F127" s="676"/>
      <c r="G127" s="676"/>
      <c r="H127" s="676"/>
      <c r="I127" s="677"/>
      <c r="J127" s="677"/>
      <c r="K127" s="677"/>
      <c r="L127" s="670"/>
      <c r="M127" s="486"/>
    </row>
    <row r="128" spans="1:13">
      <c r="A128" s="671" t="s">
        <v>93</v>
      </c>
      <c r="B128" s="680">
        <v>100</v>
      </c>
      <c r="C128" s="680"/>
      <c r="D128" s="690">
        <v>3.669724770642202</v>
      </c>
      <c r="E128" s="680">
        <v>60.779816513761467</v>
      </c>
      <c r="F128" s="680">
        <v>18.807339449541285</v>
      </c>
      <c r="G128" s="680">
        <v>13.532110091743119</v>
      </c>
      <c r="H128" s="680">
        <v>3.2110091743119269</v>
      </c>
      <c r="I128" s="677"/>
      <c r="J128" s="690">
        <v>3.2110091743119269</v>
      </c>
      <c r="K128" s="680">
        <v>6.6513761467889916</v>
      </c>
      <c r="L128" s="680">
        <v>90.137614678899084</v>
      </c>
      <c r="M128" s="486"/>
    </row>
    <row r="129" spans="1:13">
      <c r="A129" s="671" t="s">
        <v>94</v>
      </c>
      <c r="B129" s="680">
        <v>99.999999999999986</v>
      </c>
      <c r="C129" s="680"/>
      <c r="D129" s="690">
        <v>6.2632696390658174</v>
      </c>
      <c r="E129" s="680">
        <v>64.01273885350318</v>
      </c>
      <c r="F129" s="680">
        <v>16.242038216560509</v>
      </c>
      <c r="G129" s="680">
        <v>9.9787685774946926</v>
      </c>
      <c r="H129" s="680">
        <v>3.5031847133757963</v>
      </c>
      <c r="I129" s="677"/>
      <c r="J129" s="690">
        <v>4.8832271762208075</v>
      </c>
      <c r="K129" s="680">
        <v>9.2356687898089174</v>
      </c>
      <c r="L129" s="680">
        <v>85.881104033970274</v>
      </c>
      <c r="M129" s="486"/>
    </row>
    <row r="130" spans="1:13">
      <c r="A130" s="671" t="s">
        <v>95</v>
      </c>
      <c r="B130" s="680">
        <v>100</v>
      </c>
      <c r="C130" s="680"/>
      <c r="D130" s="690">
        <v>6.9731800766283518</v>
      </c>
      <c r="E130" s="680">
        <v>69.961685823754792</v>
      </c>
      <c r="F130" s="680">
        <v>12.068965517241379</v>
      </c>
      <c r="G130" s="680">
        <v>8.1992337164750957</v>
      </c>
      <c r="H130" s="680">
        <v>2.7969348659003832</v>
      </c>
      <c r="I130" s="677"/>
      <c r="J130" s="690">
        <v>5.7854406130268199</v>
      </c>
      <c r="K130" s="680">
        <v>12.337164750957855</v>
      </c>
      <c r="L130" s="680">
        <v>81.877394636015325</v>
      </c>
      <c r="M130" s="486"/>
    </row>
    <row r="131" spans="1:13">
      <c r="A131" s="671" t="s">
        <v>96</v>
      </c>
      <c r="B131" s="680">
        <v>100</v>
      </c>
      <c r="C131" s="680"/>
      <c r="D131" s="690">
        <v>6.0903732809430258</v>
      </c>
      <c r="E131" s="680">
        <v>62.082514734774065</v>
      </c>
      <c r="F131" s="680">
        <v>15.717092337917485</v>
      </c>
      <c r="G131" s="680">
        <v>11.394891944990176</v>
      </c>
      <c r="H131" s="680">
        <v>4.7151277013752457</v>
      </c>
      <c r="I131" s="677"/>
      <c r="J131" s="690">
        <v>5.3045186640471513</v>
      </c>
      <c r="K131" s="680">
        <v>10.805500982318271</v>
      </c>
      <c r="L131" s="680">
        <v>83.88998035363457</v>
      </c>
      <c r="M131" s="486"/>
    </row>
    <row r="132" spans="1:13">
      <c r="A132" s="671" t="s">
        <v>97</v>
      </c>
      <c r="B132" s="680">
        <v>99.999999999999986</v>
      </c>
      <c r="C132" s="680"/>
      <c r="D132" s="690">
        <v>6.6797642436149314</v>
      </c>
      <c r="E132" s="680">
        <v>67.583497053045178</v>
      </c>
      <c r="F132" s="680">
        <v>12.573673870333987</v>
      </c>
      <c r="G132" s="680">
        <v>9.0373280943025556</v>
      </c>
      <c r="H132" s="680">
        <v>4.1257367387033401</v>
      </c>
      <c r="I132" s="677"/>
      <c r="J132" s="690">
        <v>6.2868369351669937</v>
      </c>
      <c r="K132" s="680">
        <v>11.00196463654224</v>
      </c>
      <c r="L132" s="680">
        <v>82.711198428290771</v>
      </c>
      <c r="M132" s="486"/>
    </row>
    <row r="133" spans="1:13">
      <c r="A133" s="671" t="s">
        <v>98</v>
      </c>
      <c r="B133" s="680">
        <v>100</v>
      </c>
      <c r="C133" s="680"/>
      <c r="D133" s="690">
        <v>7.3511543134872417</v>
      </c>
      <c r="E133" s="680">
        <v>69.501822600243017</v>
      </c>
      <c r="F133" s="680">
        <v>10.996354799513973</v>
      </c>
      <c r="G133" s="680">
        <v>9.1130012150668289</v>
      </c>
      <c r="H133" s="680">
        <v>3.0376670716889427</v>
      </c>
      <c r="I133" s="677"/>
      <c r="J133" s="690">
        <v>6.3791008505467799</v>
      </c>
      <c r="K133" s="680">
        <v>11.543134872417983</v>
      </c>
      <c r="L133" s="680">
        <v>82.077764277035243</v>
      </c>
      <c r="M133" s="486"/>
    </row>
    <row r="134" spans="1:13">
      <c r="A134" s="671" t="s">
        <v>99</v>
      </c>
      <c r="B134" s="680">
        <v>99.999999999999986</v>
      </c>
      <c r="C134" s="680"/>
      <c r="D134" s="690">
        <v>9.0925048271019833</v>
      </c>
      <c r="E134" s="680">
        <v>74.741091802703181</v>
      </c>
      <c r="F134" s="680">
        <v>8.9871862383710734</v>
      </c>
      <c r="G134" s="680">
        <v>5.704756889591013</v>
      </c>
      <c r="H134" s="680">
        <v>1.474460242232754</v>
      </c>
      <c r="I134" s="677"/>
      <c r="J134" s="690">
        <v>7.7760224679655963</v>
      </c>
      <c r="K134" s="680">
        <v>13.708969633140249</v>
      </c>
      <c r="L134" s="680">
        <v>78.515007898894154</v>
      </c>
      <c r="M134" s="486"/>
    </row>
    <row r="135" spans="1:13">
      <c r="A135" s="671" t="s">
        <v>100</v>
      </c>
      <c r="B135" s="680">
        <v>100</v>
      </c>
      <c r="C135" s="680"/>
      <c r="D135" s="690">
        <v>4.4827586206896548</v>
      </c>
      <c r="E135" s="680">
        <v>54.137931034482754</v>
      </c>
      <c r="F135" s="680">
        <v>22.068965517241381</v>
      </c>
      <c r="G135" s="680">
        <v>10.344827586206897</v>
      </c>
      <c r="H135" s="680">
        <v>8.9655172413793096</v>
      </c>
      <c r="I135" s="677"/>
      <c r="J135" s="690">
        <v>3.4482758620689653</v>
      </c>
      <c r="K135" s="680">
        <v>6.2068965517241379</v>
      </c>
      <c r="L135" s="680">
        <v>90.344827586206904</v>
      </c>
      <c r="M135" s="486"/>
    </row>
    <row r="136" spans="1:13">
      <c r="A136" s="671" t="s">
        <v>101</v>
      </c>
      <c r="B136" s="680">
        <v>99.999999999999986</v>
      </c>
      <c r="C136" s="680"/>
      <c r="D136" s="690">
        <v>4</v>
      </c>
      <c r="E136" s="680">
        <v>60</v>
      </c>
      <c r="F136" s="680">
        <v>13.777777777777779</v>
      </c>
      <c r="G136" s="680">
        <v>16.444444444444446</v>
      </c>
      <c r="H136" s="680">
        <v>5.7777777777777777</v>
      </c>
      <c r="I136" s="677"/>
      <c r="J136" s="690">
        <v>4</v>
      </c>
      <c r="K136" s="680">
        <v>0.88888888888888884</v>
      </c>
      <c r="L136" s="680">
        <v>95.111111111111114</v>
      </c>
      <c r="M136" s="486"/>
    </row>
    <row r="137" spans="1:13">
      <c r="A137" s="671" t="s">
        <v>102</v>
      </c>
      <c r="B137" s="680">
        <v>100</v>
      </c>
      <c r="C137" s="680"/>
      <c r="D137" s="690">
        <v>9.0267983074753175</v>
      </c>
      <c r="E137" s="680">
        <v>71.321109543958627</v>
      </c>
      <c r="F137" s="680">
        <v>10.484250117536437</v>
      </c>
      <c r="G137" s="680">
        <v>7.6163610719322996</v>
      </c>
      <c r="H137" s="680">
        <v>1.5514809590973202</v>
      </c>
      <c r="I137" s="677"/>
      <c r="J137" s="690">
        <v>7.3342736248236946</v>
      </c>
      <c r="K137" s="680">
        <v>15.138692994828396</v>
      </c>
      <c r="L137" s="680">
        <v>77.527033380347916</v>
      </c>
      <c r="M137" s="486"/>
    </row>
    <row r="138" spans="1:13">
      <c r="A138" s="671" t="s">
        <v>103</v>
      </c>
      <c r="B138" s="680">
        <v>100</v>
      </c>
      <c r="C138" s="680"/>
      <c r="D138" s="690">
        <v>5.4644808743169397</v>
      </c>
      <c r="E138" s="680">
        <v>65.027322404371574</v>
      </c>
      <c r="F138" s="680">
        <v>13.114754098360656</v>
      </c>
      <c r="G138" s="680">
        <v>12.295081967213115</v>
      </c>
      <c r="H138" s="680">
        <v>4.0983606557377046</v>
      </c>
      <c r="I138" s="677"/>
      <c r="J138" s="690">
        <v>4.6448087431693992</v>
      </c>
      <c r="K138" s="680">
        <v>9.5628415300546443</v>
      </c>
      <c r="L138" s="680">
        <v>85.792349726775953</v>
      </c>
      <c r="M138" s="486"/>
    </row>
    <row r="139" spans="1:13">
      <c r="A139" s="671" t="s">
        <v>104</v>
      </c>
      <c r="B139" s="680">
        <v>100.00000000000001</v>
      </c>
      <c r="C139" s="680"/>
      <c r="D139" s="690">
        <v>6.4209938581797878</v>
      </c>
      <c r="E139" s="680">
        <v>66.834170854271363</v>
      </c>
      <c r="F139" s="680">
        <v>13.791178112786154</v>
      </c>
      <c r="G139" s="680">
        <v>8.7660524846454493</v>
      </c>
      <c r="H139" s="680">
        <v>4.1876046901172534</v>
      </c>
      <c r="I139" s="677"/>
      <c r="J139" s="690">
        <v>5.2484645449469571</v>
      </c>
      <c r="K139" s="680">
        <v>12.339475153545505</v>
      </c>
      <c r="L139" s="680">
        <v>82.412060301507537</v>
      </c>
      <c r="M139" s="486"/>
    </row>
    <row r="140" spans="1:13">
      <c r="A140" s="671" t="s">
        <v>105</v>
      </c>
      <c r="B140" s="680">
        <v>100</v>
      </c>
      <c r="C140" s="680"/>
      <c r="D140" s="690">
        <v>6.0869565217391308</v>
      </c>
      <c r="E140" s="680">
        <v>61.739130434782609</v>
      </c>
      <c r="F140" s="680">
        <v>15.65217391304348</v>
      </c>
      <c r="G140" s="680">
        <v>13.913043478260869</v>
      </c>
      <c r="H140" s="680">
        <v>2.6086956521739131</v>
      </c>
      <c r="I140" s="677"/>
      <c r="J140" s="690">
        <v>5.2173913043478262</v>
      </c>
      <c r="K140" s="680">
        <v>13.913043478260869</v>
      </c>
      <c r="L140" s="680">
        <v>80.869565217391298</v>
      </c>
      <c r="M140" s="486"/>
    </row>
    <row r="141" spans="1:13">
      <c r="A141" s="671" t="s">
        <v>106</v>
      </c>
      <c r="B141" s="680">
        <v>99.999999999999986</v>
      </c>
      <c r="C141" s="680"/>
      <c r="D141" s="690">
        <v>5.6281407035175883</v>
      </c>
      <c r="E141" s="680">
        <v>66.532663316582912</v>
      </c>
      <c r="F141" s="680">
        <v>14.874371859296481</v>
      </c>
      <c r="G141" s="680">
        <v>9.849246231155778</v>
      </c>
      <c r="H141" s="680">
        <v>3.1155778894472363</v>
      </c>
      <c r="I141" s="677"/>
      <c r="J141" s="690">
        <v>5.025125628140704</v>
      </c>
      <c r="K141" s="680">
        <v>10.150753768844222</v>
      </c>
      <c r="L141" s="680">
        <v>84.824120603015075</v>
      </c>
      <c r="M141" s="486"/>
    </row>
    <row r="142" spans="1:13">
      <c r="A142" s="671" t="s">
        <v>107</v>
      </c>
      <c r="B142" s="680">
        <v>100.00000000000001</v>
      </c>
      <c r="C142" s="680"/>
      <c r="D142" s="690">
        <v>9.9787685774946926</v>
      </c>
      <c r="E142" s="680">
        <v>63.269639065817408</v>
      </c>
      <c r="F142" s="680">
        <v>13.375796178343949</v>
      </c>
      <c r="G142" s="680">
        <v>8.4925690021231421</v>
      </c>
      <c r="H142" s="680">
        <v>4.8832271762208075</v>
      </c>
      <c r="I142" s="677"/>
      <c r="J142" s="690">
        <v>9.1295116772823768</v>
      </c>
      <c r="K142" s="680">
        <v>7.6433121019108281</v>
      </c>
      <c r="L142" s="680">
        <v>83.227176220806797</v>
      </c>
      <c r="M142" s="486"/>
    </row>
    <row r="143" spans="1:13">
      <c r="A143" s="671" t="s">
        <v>108</v>
      </c>
      <c r="B143" s="680">
        <v>100</v>
      </c>
      <c r="C143" s="680"/>
      <c r="D143" s="690">
        <v>5.2742973247544871</v>
      </c>
      <c r="E143" s="680">
        <v>68.430409752793764</v>
      </c>
      <c r="F143" s="680">
        <v>13.105316627158823</v>
      </c>
      <c r="G143" s="680">
        <v>9.7189299017947839</v>
      </c>
      <c r="H143" s="680">
        <v>3.4710463934981375</v>
      </c>
      <c r="I143" s="677"/>
      <c r="J143" s="690">
        <v>4.3261090416525567</v>
      </c>
      <c r="K143" s="680">
        <v>10.573992549949205</v>
      </c>
      <c r="L143" s="680">
        <v>85.099898408398246</v>
      </c>
      <c r="M143" s="486"/>
    </row>
    <row r="144" spans="1:13">
      <c r="A144" s="671" t="s">
        <v>603</v>
      </c>
      <c r="B144" s="680">
        <v>100</v>
      </c>
      <c r="C144" s="680"/>
      <c r="D144" s="680">
        <v>7.5818249773079192</v>
      </c>
      <c r="E144" s="680">
        <v>69.57659245021091</v>
      </c>
      <c r="F144" s="680">
        <v>11.901329489027711</v>
      </c>
      <c r="G144" s="680">
        <v>8.1744887607453691</v>
      </c>
      <c r="H144" s="680">
        <v>2.7657643227080997</v>
      </c>
      <c r="I144" s="677"/>
      <c r="J144" s="680">
        <v>6.4231939772545248</v>
      </c>
      <c r="K144" s="680">
        <v>12.125580650328367</v>
      </c>
      <c r="L144" s="680">
        <v>81.451225372417099</v>
      </c>
      <c r="M144" s="486"/>
    </row>
    <row r="145" spans="1:13">
      <c r="A145" s="678" t="s">
        <v>604</v>
      </c>
      <c r="B145" s="680">
        <v>100</v>
      </c>
      <c r="C145" s="680"/>
      <c r="D145" s="680">
        <v>7.7743811065156141</v>
      </c>
      <c r="E145" s="680">
        <v>70.664748546424505</v>
      </c>
      <c r="F145" s="680">
        <v>11.334891806030091</v>
      </c>
      <c r="G145" s="680">
        <v>7.7384163519750651</v>
      </c>
      <c r="H145" s="680">
        <v>2.4875621890547266</v>
      </c>
      <c r="I145" s="677"/>
      <c r="J145" s="680">
        <v>6.557573577893665</v>
      </c>
      <c r="K145" s="680">
        <v>12.677575975543967</v>
      </c>
      <c r="L145" s="680">
        <v>80.764850446562363</v>
      </c>
      <c r="M145" s="486"/>
    </row>
    <row r="146" spans="1:13">
      <c r="A146" s="678" t="s">
        <v>605</v>
      </c>
      <c r="B146" s="680">
        <v>100</v>
      </c>
      <c r="C146" s="680"/>
      <c r="D146" s="680">
        <v>6.0117302052785924</v>
      </c>
      <c r="E146" s="680">
        <v>60.703812316715542</v>
      </c>
      <c r="F146" s="680">
        <v>16.520039100684262</v>
      </c>
      <c r="G146" s="680">
        <v>11.730205278592376</v>
      </c>
      <c r="H146" s="680">
        <v>5.0342130987292277</v>
      </c>
      <c r="I146" s="677"/>
      <c r="J146" s="680">
        <v>5.3274682306940369</v>
      </c>
      <c r="K146" s="680">
        <v>7.6246334310850443</v>
      </c>
      <c r="L146" s="680">
        <v>87.047898338220918</v>
      </c>
      <c r="M146" s="486"/>
    </row>
    <row r="147" spans="1:13" ht="15.75" thickBot="1">
      <c r="A147" s="681" t="s">
        <v>109</v>
      </c>
      <c r="B147" s="688">
        <v>100.00000000000001</v>
      </c>
      <c r="C147" s="688"/>
      <c r="D147" s="688">
        <v>6.6893683900330707</v>
      </c>
      <c r="E147" s="688">
        <v>69.13329622474707</v>
      </c>
      <c r="F147" s="688">
        <v>12.366982089649978</v>
      </c>
      <c r="G147" s="688">
        <v>8.7718149372974032</v>
      </c>
      <c r="H147" s="688">
        <v>3.0385383582724863</v>
      </c>
      <c r="I147" s="689"/>
      <c r="J147" s="688">
        <v>5.612127959136898</v>
      </c>
      <c r="K147" s="688">
        <v>11.525490324481844</v>
      </c>
      <c r="L147" s="688">
        <v>82.862381716381265</v>
      </c>
      <c r="M147" s="486"/>
    </row>
    <row r="148" spans="1:13">
      <c r="A148" s="682" t="s">
        <v>607</v>
      </c>
      <c r="B148" s="680"/>
      <c r="C148" s="680"/>
      <c r="D148" s="680"/>
      <c r="E148" s="680"/>
      <c r="F148" s="680"/>
      <c r="G148" s="680"/>
      <c r="H148" s="680"/>
      <c r="I148" s="677"/>
      <c r="J148" s="680"/>
      <c r="K148" s="680"/>
      <c r="L148" s="680"/>
      <c r="M148" s="486"/>
    </row>
    <row r="149" spans="1:13">
      <c r="A149" s="682" t="s">
        <v>608</v>
      </c>
      <c r="B149" s="680"/>
      <c r="C149" s="680"/>
      <c r="D149" s="680"/>
      <c r="E149" s="680"/>
      <c r="F149" s="680"/>
      <c r="G149" s="680"/>
      <c r="H149" s="680"/>
      <c r="I149" s="677"/>
      <c r="J149" s="680"/>
      <c r="K149" s="680"/>
      <c r="L149" s="680"/>
      <c r="M149" s="486"/>
    </row>
    <row r="150" spans="1:13">
      <c r="A150" s="682" t="s">
        <v>609</v>
      </c>
      <c r="B150" s="670"/>
      <c r="C150" s="670"/>
      <c r="D150" s="670"/>
      <c r="E150" s="665"/>
      <c r="F150" s="670"/>
      <c r="G150" s="670"/>
      <c r="H150" s="670"/>
      <c r="I150" s="677"/>
      <c r="J150" s="677"/>
      <c r="K150" s="677"/>
      <c r="L150" s="677"/>
      <c r="M150" s="486"/>
    </row>
    <row r="151" spans="1:13">
      <c r="A151" s="682" t="s">
        <v>610</v>
      </c>
      <c r="B151" s="670"/>
      <c r="C151" s="670"/>
      <c r="D151" s="670"/>
      <c r="E151" s="670"/>
      <c r="F151" s="670"/>
      <c r="G151" s="670"/>
      <c r="H151" s="670"/>
      <c r="I151" s="677"/>
      <c r="J151" s="677"/>
      <c r="K151" s="677"/>
      <c r="L151" s="677"/>
      <c r="M151" s="486"/>
    </row>
    <row r="152" spans="1:13">
      <c r="A152" s="496"/>
      <c r="B152" s="486"/>
      <c r="C152" s="486"/>
      <c r="D152" s="486"/>
      <c r="E152" s="486"/>
      <c r="F152" s="486"/>
      <c r="G152" s="486"/>
      <c r="H152" s="486"/>
      <c r="I152" s="486"/>
      <c r="J152" s="486"/>
      <c r="K152" s="486"/>
      <c r="L152" s="486"/>
      <c r="M152" s="486"/>
    </row>
  </sheetData>
  <mergeCells count="2">
    <mergeCell ref="D104:H104"/>
    <mergeCell ref="J104:L104"/>
  </mergeCells>
  <hyperlinks>
    <hyperlink ref="A2" r:id="rId1" xr:uid="{00000000-0004-0000-1700-000000000000}"/>
  </hyperlinks>
  <pageMargins left="0.7" right="0.7" top="0.75" bottom="0.75" header="0.3" footer="0.3"/>
  <pageSetup paperSize="9" orientation="landscape" r:id="rId2"/>
  <rowBreaks count="1" manualBreakCount="1">
    <brk id="24"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23" workbookViewId="0">
      <selection activeCell="L50" sqref="L50"/>
    </sheetView>
  </sheetViews>
  <sheetFormatPr defaultRowHeight="1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46081" r:id="rId4">
          <objectPr defaultSize="0" r:id="rId5">
            <anchor moveWithCells="1">
              <from>
                <xdr:col>5</xdr:col>
                <xdr:colOff>0</xdr:colOff>
                <xdr:row>4</xdr:row>
                <xdr:rowOff>0</xdr:rowOff>
              </from>
              <to>
                <xdr:col>12</xdr:col>
                <xdr:colOff>333375</xdr:colOff>
                <xdr:row>46</xdr:row>
                <xdr:rowOff>19050</xdr:rowOff>
              </to>
            </anchor>
          </objectPr>
        </oleObject>
      </mc:Choice>
      <mc:Fallback>
        <oleObject progId="Acrobat Document" shapeId="46081" r:id="rId4"/>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activeCell="K21" sqref="K21"/>
    </sheetView>
  </sheetViews>
  <sheetFormatPr defaultRowHeight="1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pdfxml.1" shapeId="47105" r:id="rId4">
          <objectPr defaultSize="0" r:id="rId5">
            <anchor moveWithCells="1">
              <from>
                <xdr:col>3</xdr:col>
                <xdr:colOff>0</xdr:colOff>
                <xdr:row>7</xdr:row>
                <xdr:rowOff>0</xdr:rowOff>
              </from>
              <to>
                <xdr:col>10</xdr:col>
                <xdr:colOff>333375</xdr:colOff>
                <xdr:row>49</xdr:row>
                <xdr:rowOff>19050</xdr:rowOff>
              </to>
            </anchor>
          </objectPr>
        </oleObject>
      </mc:Choice>
      <mc:Fallback>
        <oleObject progId="AcroExch.pdfxml.1" shapeId="4710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9E89DCB1A2C741A0CEC88E67F14E6B" ma:contentTypeVersion="6" ma:contentTypeDescription="Skapa ett nytt dokument." ma:contentTypeScope="" ma:versionID="b55e726892de338d0d8f2969f4040141">
  <xsd:schema xmlns:xsd="http://www.w3.org/2001/XMLSchema" xmlns:xs="http://www.w3.org/2001/XMLSchema" xmlns:p="http://schemas.microsoft.com/office/2006/metadata/properties" xmlns:ns2="52257d9a-15cf-4baa-9f13-9d0e81281ec9" xmlns:ns3="1da99d3e-faaa-4ce4-8b4f-16ed2267dee5" targetNamespace="http://schemas.microsoft.com/office/2006/metadata/properties" ma:root="true" ma:fieldsID="bba56e8d006f30ebe39cb4217204df1b" ns2:_="" ns3:_="">
    <xsd:import namespace="52257d9a-15cf-4baa-9f13-9d0e81281ec9"/>
    <xsd:import namespace="1da99d3e-faaa-4ce4-8b4f-16ed2267de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7d9a-15cf-4baa-9f13-9d0e81281e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99d3e-faaa-4ce4-8b4f-16ed2267dee5"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65082B-C8F8-47AC-91E1-3D89F8330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7d9a-15cf-4baa-9f13-9d0e81281ec9"/>
    <ds:schemaRef ds:uri="1da99d3e-faaa-4ce4-8b4f-16ed2267d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75048-F24B-49AD-BB88-A29671497D6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67B1BE-C225-4013-A077-9F3F93384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23</vt:i4>
      </vt:variant>
    </vt:vector>
  </HeadingPairs>
  <TitlesOfParts>
    <vt:vector size="53" baseType="lpstr">
      <vt:lpstr>Versioner</vt:lpstr>
      <vt:lpstr>Tabell 330</vt:lpstr>
      <vt:lpstr>Överföringar totalt</vt:lpstr>
      <vt:lpstr>Lsandelar totalt</vt:lpstr>
      <vt:lpstr>Kompensationer år 2025</vt:lpstr>
      <vt:lpstr>Slutreglering 2023 samfunds.</vt:lpstr>
      <vt:lpstr>Slutreglering 2023 grundavdrag</vt:lpstr>
      <vt:lpstr>Slureglering 2023 reseavdrag </vt:lpstr>
      <vt:lpstr>Lsandelar jmf</vt:lpstr>
      <vt:lpstr>Övergång</vt:lpstr>
      <vt:lpstr>Skattekomplettering</vt:lpstr>
      <vt:lpstr>Statistik</vt:lpstr>
      <vt:lpstr>Olika tabeller</vt:lpstr>
      <vt:lpstr>Skattekompl data</vt:lpstr>
      <vt:lpstr>Basbelopp</vt:lpstr>
      <vt:lpstr>Skola, STR &amp; Spcfr</vt:lpstr>
      <vt:lpstr>Skola data</vt:lpstr>
      <vt:lpstr>STR</vt:lpstr>
      <vt:lpstr>Förb</vt:lpstr>
      <vt:lpstr>Grvux</vt:lpstr>
      <vt:lpstr>Specialfritids</vt:lpstr>
      <vt:lpstr>Barnomsorg</vt:lpstr>
      <vt:lpstr>Sociala</vt:lpstr>
      <vt:lpstr>Socvård+barnomsorg data</vt:lpstr>
      <vt:lpstr>Soctjänst data</vt:lpstr>
      <vt:lpstr>Kultur&amp;Medis</vt:lpstr>
      <vt:lpstr>Kultur data</vt:lpstr>
      <vt:lpstr>Invånare</vt:lpstr>
      <vt:lpstr>Basbeloppsberäkning </vt:lpstr>
      <vt:lpstr>Index-beskrivning</vt:lpstr>
      <vt:lpstr>December</vt:lpstr>
      <vt:lpstr>jannov</vt:lpstr>
      <vt:lpstr>Barnomsorg!Utskriftsområde</vt:lpstr>
      <vt:lpstr>Basbelopp!Utskriftsområde</vt:lpstr>
      <vt:lpstr>Förb!Utskriftsområde</vt:lpstr>
      <vt:lpstr>Grvux!Utskriftsområde</vt:lpstr>
      <vt:lpstr>Invånare!Utskriftsområde</vt:lpstr>
      <vt:lpstr>'Kultur data'!Utskriftsområde</vt:lpstr>
      <vt:lpstr>'Kultur&amp;Medis'!Utskriftsområde</vt:lpstr>
      <vt:lpstr>'Lsandelar jmf'!Utskriftsområde</vt:lpstr>
      <vt:lpstr>'Lsandelar totalt'!Utskriftsområde</vt:lpstr>
      <vt:lpstr>'Skattekompl data'!Utskriftsområde</vt:lpstr>
      <vt:lpstr>Skattekomplettering!Utskriftsområde</vt:lpstr>
      <vt:lpstr>'Skola data'!Utskriftsområde</vt:lpstr>
      <vt:lpstr>'Skola, STR &amp; Spcfr'!Utskriftsområde</vt:lpstr>
      <vt:lpstr>'Slureglering 2023 reseavdrag '!Utskriftsområde</vt:lpstr>
      <vt:lpstr>'Slutreglering 2023 grundavdrag'!Utskriftsområde</vt:lpstr>
      <vt:lpstr>Sociala!Utskriftsområde</vt:lpstr>
      <vt:lpstr>'Socvård+barnomsorg data'!Utskriftsområde</vt:lpstr>
      <vt:lpstr>Specialfritids!Utskriftsområde</vt:lpstr>
      <vt:lpstr>STR!Utskriftsområde</vt:lpstr>
      <vt:lpstr>'Överföringar totalt'!Utskriftsområde</vt:lpstr>
      <vt:lpstr>Övergång!Utskriftsområde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Windows-användare</dc:creator>
  <cp:keywords/>
  <dc:description/>
  <cp:lastModifiedBy>Theresia Sjöberg</cp:lastModifiedBy>
  <cp:revision/>
  <dcterms:created xsi:type="dcterms:W3CDTF">2016-05-23T17:57:47Z</dcterms:created>
  <dcterms:modified xsi:type="dcterms:W3CDTF">2025-01-14T14:49:41Z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0x0101002E9E89DCB1A2C741A0CEC88E67F14E6B</vt:lpwstr>
  </property>
</Properties>
</file>