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omments2.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embeddings/oleObject1.bin" ContentType="application/vnd.openxmlformats-officedocument.oleObject"/>
  <Override PartName="/xl/drawings/drawing7.xml" ContentType="application/vnd.openxmlformats-officedocument.drawing+xml"/>
  <Override PartName="/xl/embeddings/oleObject2.bin" ContentType="application/vnd.openxmlformats-officedocument.oleObject"/>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H:\F1\Nya Webben\Uppdateringar\2024\Robban Lönnqvist\"/>
    </mc:Choice>
  </mc:AlternateContent>
  <xr:revisionPtr revIDLastSave="0" documentId="8_{8AA7C53F-FCBC-47A6-AD3B-702F18A7BDCC}" xr6:coauthVersionLast="47" xr6:coauthVersionMax="47" xr10:uidLastSave="{00000000-0000-0000-0000-000000000000}"/>
  <bookViews>
    <workbookView xWindow="6660" yWindow="1365" windowWidth="21600" windowHeight="12525" tabRatio="907" firstSheet="2" activeTab="3" xr2:uid="{00000000-000D-0000-FFFF-FFFF00000000}"/>
  </bookViews>
  <sheets>
    <sheet name="Versioner" sheetId="24" state="hidden" r:id="rId1"/>
    <sheet name="Tabell 330" sheetId="36" state="hidden" r:id="rId2"/>
    <sheet name="Överföringar totalt" sheetId="30" r:id="rId3"/>
    <sheet name="Lsandelar totalt" sheetId="12" r:id="rId4"/>
    <sheet name="Kompensationer år 2024" sheetId="35" r:id="rId5"/>
    <sheet name="Statistik" sheetId="23" r:id="rId6"/>
    <sheet name="Olika tabeller" sheetId="25" r:id="rId7"/>
    <sheet name="Lsandelar jmf" sheetId="22" state="hidden" r:id="rId8"/>
    <sheet name="Övergång" sheetId="20" state="hidden" r:id="rId9"/>
    <sheet name="Skattekomplettering" sheetId="3" state="hidden" r:id="rId10"/>
    <sheet name="Skattekompl data" sheetId="29" r:id="rId11"/>
    <sheet name="Basbelopp" sheetId="15" r:id="rId12"/>
    <sheet name="Skola, STR &amp; Spcfr" sheetId="5" r:id="rId13"/>
    <sheet name="Skola data" sheetId="6" r:id="rId14"/>
    <sheet name="STR" sheetId="11" r:id="rId15"/>
    <sheet name="Förb" sheetId="32" r:id="rId16"/>
    <sheet name="Grvux" sheetId="31" r:id="rId17"/>
    <sheet name="Specialfritids" sheetId="28" r:id="rId18"/>
    <sheet name="Barnomsorg" sheetId="27" r:id="rId19"/>
    <sheet name="Sociala" sheetId="7" r:id="rId20"/>
    <sheet name="Socvård+barnomsorg data" sheetId="8" r:id="rId21"/>
    <sheet name="Soctjänst data" sheetId="14" r:id="rId22"/>
    <sheet name="Kultur&amp;Medis" sheetId="9" state="hidden" r:id="rId23"/>
    <sheet name="K&amp;M data" sheetId="10" r:id="rId24"/>
    <sheet name="Invånare" sheetId="21" r:id="rId25"/>
    <sheet name="Basbeloppsberäkning " sheetId="33" r:id="rId26"/>
    <sheet name="Index-beskrivning" sheetId="34" r:id="rId27"/>
  </sheets>
  <externalReferences>
    <externalReference r:id="rId28"/>
  </externalReferences>
  <definedNames>
    <definedName name="fasta">'[1]Av Dreyer'!$D$139</definedName>
    <definedName name="inter1">'[1]Av Dreyer'!$D$31</definedName>
    <definedName name="inter11">'[1]Av Dreyer'!$D$68</definedName>
    <definedName name="inter12">'[1]Av Dreyer'!$D$69</definedName>
    <definedName name="inter13">'[1]Av Dreyer'!$D$70</definedName>
    <definedName name="inter14">'[1]Av Dreyer'!$D$71</definedName>
    <definedName name="inter15">'[1]Av Dreyer'!$D$72</definedName>
    <definedName name="inter16">'[1]Av Dreyer'!$D$73</definedName>
    <definedName name="inter181">'[1]Av Dreyer'!$D$106</definedName>
    <definedName name="inter182">'[1]Av Dreyer'!$D$107</definedName>
    <definedName name="inter183">'[1]Av Dreyer'!$D$108</definedName>
    <definedName name="inter184">'[1]Av Dreyer'!$D$109</definedName>
    <definedName name="inter185">'[1]Av Dreyer'!$D$110</definedName>
    <definedName name="inter186">'[1]Av Dreyer'!$D$111</definedName>
    <definedName name="inter2">'[1]Av Dreyer'!$D$32</definedName>
    <definedName name="inter3">'[1]Av Dreyer'!$D$33</definedName>
    <definedName name="inter4">'[1]Av Dreyer'!$D$34</definedName>
    <definedName name="inter5">'[1]Av Dreyer'!$D$35</definedName>
    <definedName name="inter6">'[1]Av Dreyer'!$D$36</definedName>
    <definedName name="Minskning">#REF!</definedName>
    <definedName name="skär">'[1]Av Dreyer'!$D$140</definedName>
    <definedName name="_xlnm.Print_Area" localSheetId="18">Barnomsorg!$A$1:$I$23</definedName>
    <definedName name="_xlnm.Print_Area" localSheetId="11">Basbelopp!$A$1:$L$40</definedName>
    <definedName name="_xlnm.Print_Area" localSheetId="15">Förb!$A$1:$E$29</definedName>
    <definedName name="_xlnm.Print_Area" localSheetId="16">Grvux!$A$1:$E$29</definedName>
    <definedName name="_xlnm.Print_Area" localSheetId="24">Invånare!$A$1:$J$44</definedName>
    <definedName name="_xlnm.Print_Area" localSheetId="23">'K&amp;M data'!$A$1:$H$33</definedName>
    <definedName name="_xlnm.Print_Area" localSheetId="22">'Kultur&amp;Medis'!$A$1:$I$27</definedName>
    <definedName name="_xlnm.Print_Area" localSheetId="7">'Lsandelar jmf'!$A$1:$AC$26</definedName>
    <definedName name="_xlnm.Print_Area" localSheetId="3">'Lsandelar totalt'!$A$1:$K$48</definedName>
    <definedName name="_xlnm.Print_Area" localSheetId="10">'Skattekompl data'!$A$1:$J$230</definedName>
    <definedName name="_xlnm.Print_Area" localSheetId="9">Skattekomplettering!$A$1:$H$29</definedName>
    <definedName name="_xlnm.Print_Area" localSheetId="13">'Skola data'!$A$1:$M$135</definedName>
    <definedName name="_xlnm.Print_Area" localSheetId="12">'Skola, STR &amp; Spcfr'!$A$1:$I$27</definedName>
    <definedName name="_xlnm.Print_Area" localSheetId="19">Sociala!$A$1:$I$23</definedName>
    <definedName name="_xlnm.Print_Area" localSheetId="21">'Soctjänst data'!#REF!</definedName>
    <definedName name="_xlnm.Print_Area" localSheetId="20">'Socvård+barnomsorg data'!$A$1:$G$80</definedName>
    <definedName name="_xlnm.Print_Area" localSheetId="17">Specialfritids!$A$1:$E$29</definedName>
    <definedName name="_xlnm.Print_Area" localSheetId="14">STR!$A$1:$E$29</definedName>
    <definedName name="_xlnm.Print_Area" localSheetId="2">'Överföringar totalt'!$B$1:$K$25</definedName>
    <definedName name="_xlnm.Print_Area" localSheetId="8">Övergång!$A$1:$Q$58</definedName>
    <definedName name="ytt">'[1]Av Dreyer'!$D$141</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56" i="29" l="1"/>
  <c r="G180" i="29"/>
  <c r="D182" i="29"/>
  <c r="D183" i="29"/>
  <c r="D184" i="29"/>
  <c r="D185" i="29"/>
  <c r="D186" i="29"/>
  <c r="D187" i="29"/>
  <c r="D188" i="29"/>
  <c r="D189" i="29"/>
  <c r="D190" i="29"/>
  <c r="D191" i="29"/>
  <c r="D192" i="29"/>
  <c r="D193" i="29"/>
  <c r="D194" i="29"/>
  <c r="D195" i="29"/>
  <c r="D196" i="29"/>
  <c r="D181" i="29"/>
  <c r="D158" i="29"/>
  <c r="D159" i="29"/>
  <c r="D160" i="29"/>
  <c r="D161" i="29"/>
  <c r="D162" i="29"/>
  <c r="D163" i="29"/>
  <c r="D164" i="29"/>
  <c r="D165" i="29"/>
  <c r="D166" i="29"/>
  <c r="D167" i="29"/>
  <c r="D168" i="29"/>
  <c r="D169" i="29"/>
  <c r="D170" i="29"/>
  <c r="D171" i="29"/>
  <c r="D172" i="29"/>
  <c r="D157" i="29"/>
  <c r="F25" i="29" l="1"/>
  <c r="F67" i="29"/>
  <c r="H39" i="30" l="1"/>
  <c r="D39" i="30"/>
  <c r="AB25" i="30"/>
  <c r="U25" i="30" l="1"/>
  <c r="F24" i="30" l="1"/>
  <c r="I72" i="35"/>
  <c r="I73" i="35"/>
  <c r="I74" i="35"/>
  <c r="I75" i="35"/>
  <c r="I76" i="35"/>
  <c r="I77" i="35"/>
  <c r="I78" i="35"/>
  <c r="I79" i="35"/>
  <c r="I80" i="35"/>
  <c r="I81" i="35"/>
  <c r="I82" i="35"/>
  <c r="I83" i="35"/>
  <c r="I84" i="35"/>
  <c r="I85" i="35"/>
  <c r="I86" i="35"/>
  <c r="I71" i="35"/>
  <c r="I88" i="35" s="1"/>
  <c r="I44" i="35"/>
  <c r="I45" i="35"/>
  <c r="I46" i="35"/>
  <c r="I47" i="35"/>
  <c r="I48" i="35"/>
  <c r="I49" i="35"/>
  <c r="I50" i="35"/>
  <c r="I51" i="35"/>
  <c r="I52" i="35"/>
  <c r="I53" i="35"/>
  <c r="I54" i="35"/>
  <c r="I55" i="35"/>
  <c r="I56" i="35"/>
  <c r="I57" i="35"/>
  <c r="I58" i="35"/>
  <c r="I43" i="35"/>
  <c r="I60" i="35" s="1"/>
  <c r="K107" i="12"/>
  <c r="L56" i="12"/>
  <c r="G8" i="35" l="1"/>
  <c r="G10" i="35"/>
  <c r="G11" i="35"/>
  <c r="G19" i="35"/>
  <c r="G12" i="35"/>
  <c r="G20" i="35"/>
  <c r="G21" i="35"/>
  <c r="G16" i="35"/>
  <c r="G17" i="35"/>
  <c r="G13" i="35"/>
  <c r="G18" i="35"/>
  <c r="G14" i="35"/>
  <c r="G22" i="35"/>
  <c r="G15" i="35"/>
  <c r="G7" i="35"/>
  <c r="G9" i="35"/>
  <c r="H53" i="12" l="1"/>
  <c r="W26" i="12"/>
  <c r="F25" i="30" l="1"/>
  <c r="C24" i="23" s="1"/>
  <c r="J8" i="30"/>
  <c r="J9" i="30"/>
  <c r="J10" i="30"/>
  <c r="J11" i="30"/>
  <c r="J12" i="30"/>
  <c r="J13" i="30"/>
  <c r="J14" i="30"/>
  <c r="J15" i="30"/>
  <c r="J16" i="30"/>
  <c r="J17" i="30"/>
  <c r="J18" i="30"/>
  <c r="J19" i="30"/>
  <c r="J20" i="30"/>
  <c r="J21" i="30"/>
  <c r="J22" i="30"/>
  <c r="H8" i="30"/>
  <c r="I8" i="30"/>
  <c r="H9" i="30"/>
  <c r="I9" i="30"/>
  <c r="H10" i="30"/>
  <c r="I10" i="30"/>
  <c r="H11" i="30"/>
  <c r="I11" i="30"/>
  <c r="H12" i="30"/>
  <c r="I12" i="30"/>
  <c r="H13" i="30"/>
  <c r="I13" i="30"/>
  <c r="H14" i="30"/>
  <c r="I14" i="30"/>
  <c r="H15" i="30"/>
  <c r="I15" i="30"/>
  <c r="H16" i="30"/>
  <c r="I16" i="30"/>
  <c r="H17" i="30"/>
  <c r="I17" i="30"/>
  <c r="H18" i="30"/>
  <c r="I18" i="30"/>
  <c r="H19" i="30"/>
  <c r="I19" i="30"/>
  <c r="H20" i="30"/>
  <c r="I20" i="30"/>
  <c r="H21" i="30"/>
  <c r="I21" i="30"/>
  <c r="H22" i="30"/>
  <c r="I22" i="30"/>
  <c r="I7" i="30"/>
  <c r="H7" i="30"/>
  <c r="L8" i="35"/>
  <c r="L9" i="35"/>
  <c r="L10" i="35"/>
  <c r="L11" i="35"/>
  <c r="L12" i="35"/>
  <c r="L13" i="35"/>
  <c r="L14" i="35"/>
  <c r="L15" i="35"/>
  <c r="L16" i="35"/>
  <c r="L17" i="35"/>
  <c r="L18" i="35"/>
  <c r="L19" i="35"/>
  <c r="L20" i="35"/>
  <c r="L21" i="35"/>
  <c r="L22" i="35"/>
  <c r="H38" i="8" l="1"/>
  <c r="D125" i="29" l="1"/>
  <c r="D126" i="29"/>
  <c r="D127" i="29"/>
  <c r="D128" i="29"/>
  <c r="D129" i="29"/>
  <c r="D130" i="29"/>
  <c r="D131" i="29"/>
  <c r="D132" i="29"/>
  <c r="D133" i="29"/>
  <c r="D134" i="29"/>
  <c r="D135" i="29"/>
  <c r="D136" i="29"/>
  <c r="D137" i="29"/>
  <c r="D138" i="29"/>
  <c r="D139" i="29"/>
  <c r="D124" i="29"/>
  <c r="O80" i="15"/>
  <c r="B80" i="15"/>
  <c r="AD80" i="15" s="1"/>
  <c r="E25" i="35"/>
  <c r="I25" i="30" s="1"/>
  <c r="I39" i="30" s="1"/>
  <c r="D25" i="35"/>
  <c r="C17" i="23" l="1"/>
  <c r="K25" i="35"/>
  <c r="H25" i="30"/>
  <c r="AE81" i="15"/>
  <c r="B9" i="8" s="1"/>
  <c r="AI81" i="15"/>
  <c r="F9" i="8" s="1"/>
  <c r="AK81" i="15"/>
  <c r="B7" i="14" s="1"/>
  <c r="AH81" i="15"/>
  <c r="E9" i="8" s="1"/>
  <c r="AG81" i="15"/>
  <c r="D9" i="8" s="1"/>
  <c r="AU91" i="15"/>
  <c r="P80" i="15"/>
  <c r="V82" i="15"/>
  <c r="Y82" i="15" s="1"/>
  <c r="B6" i="31" s="1"/>
  <c r="C126" i="29"/>
  <c r="C130" i="29" l="1"/>
  <c r="Y80" i="15"/>
  <c r="B6" i="28" s="1"/>
  <c r="Y81" i="15"/>
  <c r="B6" i="32" s="1"/>
  <c r="AV92" i="15"/>
  <c r="C7" i="10" s="1"/>
  <c r="AW92" i="15"/>
  <c r="C136" i="29"/>
  <c r="C128" i="29"/>
  <c r="C133" i="29"/>
  <c r="C125" i="29"/>
  <c r="C124" i="29"/>
  <c r="C132" i="29"/>
  <c r="C139" i="29"/>
  <c r="C131" i="29"/>
  <c r="C138" i="29"/>
  <c r="C137" i="29"/>
  <c r="C129" i="29"/>
  <c r="C135" i="29"/>
  <c r="C127" i="29"/>
  <c r="C134" i="29"/>
  <c r="D93" i="29" l="1"/>
  <c r="F110" i="8"/>
  <c r="F95" i="8"/>
  <c r="F96" i="8"/>
  <c r="F97" i="8"/>
  <c r="F98" i="8"/>
  <c r="F99" i="8"/>
  <c r="F100" i="8"/>
  <c r="F101" i="8"/>
  <c r="F102" i="8"/>
  <c r="F103" i="8"/>
  <c r="F104" i="8"/>
  <c r="F105" i="8"/>
  <c r="F106" i="8"/>
  <c r="F107" i="8"/>
  <c r="F108" i="8"/>
  <c r="F109" i="8"/>
  <c r="F94" i="8"/>
  <c r="T77" i="15" l="1"/>
  <c r="AG37" i="15" l="1"/>
  <c r="AH37" i="15"/>
  <c r="AI37" i="15"/>
  <c r="AI73" i="15" l="1"/>
  <c r="AH73" i="15"/>
  <c r="AG73" i="15"/>
  <c r="AK73" i="15" l="1"/>
  <c r="AK69" i="15"/>
  <c r="AE73" i="15"/>
  <c r="AE69" i="15"/>
  <c r="AE102" i="15"/>
  <c r="AO67" i="15"/>
  <c r="AO68" i="15"/>
  <c r="AO69" i="15"/>
  <c r="AU83" i="15"/>
  <c r="AU87" i="15"/>
  <c r="K8" i="35" l="1"/>
  <c r="K9" i="35"/>
  <c r="K10" i="35"/>
  <c r="K11" i="35"/>
  <c r="K12" i="35"/>
  <c r="K13" i="35"/>
  <c r="K14" i="35"/>
  <c r="K15" i="35"/>
  <c r="K16" i="35"/>
  <c r="K17" i="35"/>
  <c r="K18" i="35"/>
  <c r="K19" i="35"/>
  <c r="K20" i="35"/>
  <c r="K21" i="35"/>
  <c r="K22" i="35"/>
  <c r="K7" i="35"/>
  <c r="L70" i="15" l="1"/>
  <c r="N60" i="12"/>
  <c r="N30" i="12" s="1"/>
  <c r="Z96" i="15" l="1"/>
  <c r="W99" i="15"/>
  <c r="W96" i="15"/>
  <c r="L72" i="15"/>
  <c r="T78" i="15" s="1"/>
  <c r="AO78" i="15"/>
  <c r="AK77" i="15" s="1"/>
  <c r="AO77" i="15"/>
  <c r="AE77" i="15" s="1"/>
  <c r="AI77" i="15"/>
  <c r="AH77" i="15"/>
  <c r="AG77" i="15"/>
  <c r="AD72" i="15"/>
  <c r="AD76" i="15"/>
  <c r="V78" i="15"/>
  <c r="O76" i="15"/>
  <c r="O72" i="15"/>
  <c r="J76" i="15"/>
  <c r="B72" i="15"/>
  <c r="P72" i="15" s="1"/>
  <c r="B76" i="15"/>
  <c r="P76" i="15" s="1"/>
  <c r="O56" i="15"/>
  <c r="B56" i="15"/>
  <c r="Y68" i="15" l="1"/>
  <c r="Y72" i="15" s="1"/>
  <c r="Y76" i="15" s="1"/>
  <c r="Y70" i="15"/>
  <c r="Y74" i="15" s="1"/>
  <c r="Y78" i="15" s="1"/>
  <c r="Y69" i="15"/>
  <c r="Y73" i="15" s="1"/>
  <c r="Y77" i="15" s="1"/>
  <c r="E68" i="15"/>
  <c r="T72" i="15"/>
  <c r="Q69" i="15" s="1"/>
  <c r="V74" i="15"/>
  <c r="AD56" i="15"/>
  <c r="P56" i="15"/>
  <c r="Q73" i="15" l="1"/>
  <c r="Q77" i="15" s="1"/>
  <c r="C68" i="15"/>
  <c r="E73" i="15"/>
  <c r="E77" i="15" s="1"/>
  <c r="G68" i="15"/>
  <c r="H68" i="15"/>
  <c r="D68" i="15"/>
  <c r="F68" i="15"/>
  <c r="B21" i="23"/>
  <c r="B11" i="23"/>
  <c r="E81" i="15" l="1"/>
  <c r="E6" i="6" s="1"/>
  <c r="Q81" i="15"/>
  <c r="B6" i="11" s="1"/>
  <c r="C73" i="15"/>
  <c r="C77" i="15" s="1"/>
  <c r="H73" i="15"/>
  <c r="H77" i="15" s="1"/>
  <c r="D73" i="15"/>
  <c r="D77" i="15" s="1"/>
  <c r="G73" i="15"/>
  <c r="G77" i="15" s="1"/>
  <c r="F73" i="15"/>
  <c r="F77" i="15" s="1"/>
  <c r="G81" i="15" l="1"/>
  <c r="G6" i="6" s="1"/>
  <c r="H81" i="15"/>
  <c r="H6" i="6" s="1"/>
  <c r="D81" i="15"/>
  <c r="D6" i="6" s="1"/>
  <c r="C81" i="15"/>
  <c r="C6" i="6" s="1"/>
  <c r="F81" i="15"/>
  <c r="F6" i="6" s="1"/>
  <c r="L22" i="25" l="1"/>
  <c r="I12" i="25"/>
  <c r="I14" i="25"/>
  <c r="L7" i="25"/>
  <c r="L8" i="25"/>
  <c r="L9" i="25"/>
  <c r="L10" i="25"/>
  <c r="L11" i="25"/>
  <c r="L12" i="25"/>
  <c r="L13" i="25"/>
  <c r="L14" i="25"/>
  <c r="L15" i="25"/>
  <c r="L16" i="25"/>
  <c r="L17" i="25"/>
  <c r="L18" i="25"/>
  <c r="L19" i="25"/>
  <c r="L20" i="25"/>
  <c r="L21" i="25"/>
  <c r="L6" i="25"/>
  <c r="G7" i="25"/>
  <c r="H7" i="25" s="1"/>
  <c r="G8" i="25"/>
  <c r="I8" i="25" s="1"/>
  <c r="G9" i="25"/>
  <c r="I9" i="25" s="1"/>
  <c r="G10" i="25"/>
  <c r="I10" i="25" s="1"/>
  <c r="G11" i="25"/>
  <c r="I11" i="25" s="1"/>
  <c r="G12" i="25"/>
  <c r="H12" i="25" s="1"/>
  <c r="G13" i="25"/>
  <c r="H13" i="25" s="1"/>
  <c r="G14" i="25"/>
  <c r="H14" i="25" s="1"/>
  <c r="G15" i="25"/>
  <c r="H15" i="25" s="1"/>
  <c r="G16" i="25"/>
  <c r="H16" i="25" s="1"/>
  <c r="G17" i="25"/>
  <c r="I17" i="25" s="1"/>
  <c r="G18" i="25"/>
  <c r="I18" i="25" s="1"/>
  <c r="G19" i="25"/>
  <c r="I19" i="25" s="1"/>
  <c r="G20" i="25"/>
  <c r="I20" i="25" s="1"/>
  <c r="G21" i="25"/>
  <c r="H21" i="25" s="1"/>
  <c r="G6" i="25"/>
  <c r="I6" i="25" s="1"/>
  <c r="M18" i="25"/>
  <c r="M19" i="25"/>
  <c r="M20" i="25"/>
  <c r="M7" i="25"/>
  <c r="M8" i="25"/>
  <c r="M9" i="25"/>
  <c r="M10" i="25"/>
  <c r="M11" i="25"/>
  <c r="M12" i="25"/>
  <c r="M13" i="25"/>
  <c r="M14" i="25"/>
  <c r="M15" i="25"/>
  <c r="M16" i="25"/>
  <c r="M17" i="25"/>
  <c r="M21" i="25"/>
  <c r="M6" i="25"/>
  <c r="H10" i="25" l="1"/>
  <c r="H8" i="25"/>
  <c r="H20" i="25"/>
  <c r="I16" i="25"/>
  <c r="H19" i="25"/>
  <c r="H11" i="25"/>
  <c r="I15" i="25"/>
  <c r="I7" i="25"/>
  <c r="I21" i="25"/>
  <c r="H17" i="25"/>
  <c r="H9" i="25"/>
  <c r="I13" i="25"/>
  <c r="H18" i="25"/>
  <c r="H6" i="25"/>
  <c r="M22" i="25"/>
  <c r="O52" i="15" l="1"/>
  <c r="B48" i="15"/>
  <c r="B52" i="15"/>
  <c r="P52" i="15" l="1"/>
  <c r="AD52" i="15"/>
  <c r="B13" i="14"/>
  <c r="B14" i="14"/>
  <c r="B15" i="14"/>
  <c r="B16" i="14"/>
  <c r="B17" i="14"/>
  <c r="B18" i="14"/>
  <c r="B19" i="14"/>
  <c r="B20" i="14"/>
  <c r="B21" i="14"/>
  <c r="B22" i="14"/>
  <c r="B23" i="14"/>
  <c r="B24" i="14"/>
  <c r="B25" i="14"/>
  <c r="B26" i="14"/>
  <c r="B27" i="14"/>
  <c r="B12" i="14"/>
  <c r="S26" i="12" l="1"/>
  <c r="R26" i="12"/>
  <c r="AD48" i="15" l="1"/>
  <c r="AE37" i="15" l="1"/>
  <c r="AR44" i="15"/>
  <c r="AK37" i="15"/>
  <c r="AR43" i="15" l="1"/>
  <c r="L34" i="15"/>
  <c r="L36" i="15" s="1"/>
  <c r="C196" i="29" l="1"/>
  <c r="C195" i="29"/>
  <c r="C194" i="29"/>
  <c r="C193" i="29"/>
  <c r="C192" i="29"/>
  <c r="C191" i="29"/>
  <c r="C190" i="29"/>
  <c r="C189" i="29"/>
  <c r="C188" i="29"/>
  <c r="C187" i="29"/>
  <c r="C186" i="29"/>
  <c r="C185" i="29"/>
  <c r="C184" i="29"/>
  <c r="C183" i="29"/>
  <c r="C182" i="29"/>
  <c r="C181" i="29"/>
  <c r="A177" i="29"/>
  <c r="C172" i="29"/>
  <c r="C171" i="29"/>
  <c r="C170" i="29"/>
  <c r="C169" i="29"/>
  <c r="C168" i="29"/>
  <c r="C167" i="29"/>
  <c r="C166" i="29"/>
  <c r="C165" i="29"/>
  <c r="C164" i="29"/>
  <c r="C163" i="29"/>
  <c r="C162" i="29"/>
  <c r="C161" i="29"/>
  <c r="C160" i="29"/>
  <c r="C159" i="29"/>
  <c r="C158" i="29"/>
  <c r="C157" i="29"/>
  <c r="A153" i="29"/>
  <c r="F109" i="29"/>
  <c r="E109" i="29"/>
  <c r="D109" i="29"/>
  <c r="C109" i="29"/>
  <c r="B109" i="29"/>
  <c r="F108" i="29"/>
  <c r="E108" i="29"/>
  <c r="D108" i="29"/>
  <c r="C108" i="29"/>
  <c r="B108" i="29"/>
  <c r="E107" i="29"/>
  <c r="D107" i="29"/>
  <c r="C107" i="29"/>
  <c r="B107" i="29"/>
  <c r="E106" i="29"/>
  <c r="D106" i="29"/>
  <c r="C106" i="29"/>
  <c r="B106" i="29"/>
  <c r="F105" i="29"/>
  <c r="E105" i="29"/>
  <c r="D105" i="29"/>
  <c r="C105" i="29"/>
  <c r="B105" i="29"/>
  <c r="F104" i="29"/>
  <c r="E104" i="29"/>
  <c r="D104" i="29"/>
  <c r="C104" i="29"/>
  <c r="B104" i="29"/>
  <c r="E103" i="29"/>
  <c r="D103" i="29"/>
  <c r="C103" i="29"/>
  <c r="B103" i="29"/>
  <c r="E102" i="29"/>
  <c r="D102" i="29"/>
  <c r="C102" i="29"/>
  <c r="B102" i="29"/>
  <c r="F101" i="29"/>
  <c r="E101" i="29"/>
  <c r="D101" i="29"/>
  <c r="C101" i="29"/>
  <c r="B101" i="29"/>
  <c r="E100" i="29"/>
  <c r="D100" i="29"/>
  <c r="C100" i="29"/>
  <c r="B100" i="29"/>
  <c r="E99" i="29"/>
  <c r="D99" i="29"/>
  <c r="C99" i="29"/>
  <c r="B99" i="29"/>
  <c r="E98" i="29"/>
  <c r="D98" i="29"/>
  <c r="C98" i="29"/>
  <c r="B98" i="29"/>
  <c r="F97" i="29"/>
  <c r="E97" i="29"/>
  <c r="D97" i="29"/>
  <c r="C97" i="29"/>
  <c r="B97" i="29"/>
  <c r="F96" i="29"/>
  <c r="E96" i="29"/>
  <c r="D96" i="29"/>
  <c r="C96" i="29"/>
  <c r="B96" i="29"/>
  <c r="E95" i="29"/>
  <c r="D95" i="29"/>
  <c r="C95" i="29"/>
  <c r="B95" i="29"/>
  <c r="E94" i="29"/>
  <c r="D94" i="29"/>
  <c r="C94" i="29"/>
  <c r="B94" i="29"/>
  <c r="F93" i="29"/>
  <c r="E93" i="29"/>
  <c r="C93" i="29"/>
  <c r="B93" i="29"/>
  <c r="F107" i="29"/>
  <c r="F106" i="29"/>
  <c r="F103" i="29"/>
  <c r="F102" i="29"/>
  <c r="F100" i="29"/>
  <c r="F99" i="29"/>
  <c r="F98" i="29"/>
  <c r="F95" i="29"/>
  <c r="F94" i="29"/>
  <c r="C177" i="29" l="1"/>
  <c r="C118" i="29"/>
  <c r="C153" i="29"/>
  <c r="G97" i="29"/>
  <c r="G94" i="29"/>
  <c r="G93" i="29"/>
  <c r="G101" i="29"/>
  <c r="G96" i="29"/>
  <c r="G104" i="29"/>
  <c r="G105" i="29"/>
  <c r="G106" i="29"/>
  <c r="G108" i="29"/>
  <c r="G103" i="29"/>
  <c r="G107" i="29"/>
  <c r="G98" i="29"/>
  <c r="G100" i="29"/>
  <c r="G102" i="29"/>
  <c r="G95" i="29"/>
  <c r="G99" i="29"/>
  <c r="B124" i="29" l="1"/>
  <c r="F124" i="29" s="1"/>
  <c r="B186" i="29"/>
  <c r="F186" i="29" s="1"/>
  <c r="G186" i="29" s="1"/>
  <c r="B189" i="29"/>
  <c r="F189" i="29" s="1"/>
  <c r="G189" i="29" s="1"/>
  <c r="B185" i="29"/>
  <c r="F185" i="29" s="1"/>
  <c r="G185" i="29" s="1"/>
  <c r="B190" i="29"/>
  <c r="F190" i="29" s="1"/>
  <c r="G190" i="29" s="1"/>
  <c r="B181" i="29"/>
  <c r="F181" i="29" s="1"/>
  <c r="G181" i="29" s="1"/>
  <c r="B192" i="29"/>
  <c r="F192" i="29" s="1"/>
  <c r="G192" i="29" s="1"/>
  <c r="B191" i="29"/>
  <c r="F191" i="29" s="1"/>
  <c r="G191" i="29" s="1"/>
  <c r="B135" i="29"/>
  <c r="F135" i="29" s="1"/>
  <c r="B161" i="29"/>
  <c r="F161" i="29" s="1"/>
  <c r="G161" i="29" s="1"/>
  <c r="B159" i="29"/>
  <c r="F159" i="29" s="1"/>
  <c r="G159" i="29" s="1"/>
  <c r="B164" i="29"/>
  <c r="F164" i="29" s="1"/>
  <c r="G164" i="29" s="1"/>
  <c r="B170" i="29"/>
  <c r="F170" i="29" s="1"/>
  <c r="G170" i="29" s="1"/>
  <c r="B157" i="29"/>
  <c r="F157" i="29" s="1"/>
  <c r="G157" i="29" s="1"/>
  <c r="B136" i="29"/>
  <c r="F136" i="29" s="1"/>
  <c r="B132" i="29"/>
  <c r="F132" i="29" s="1"/>
  <c r="B139" i="29"/>
  <c r="F139" i="29" s="1"/>
  <c r="G139" i="29" s="1"/>
  <c r="B165" i="29"/>
  <c r="F165" i="29" s="1"/>
  <c r="G165" i="29" s="1"/>
  <c r="B127" i="29"/>
  <c r="F127" i="29" s="1"/>
  <c r="B128" i="29"/>
  <c r="F128" i="29" s="1"/>
  <c r="B171" i="29"/>
  <c r="F171" i="29" s="1"/>
  <c r="G171" i="29" s="1"/>
  <c r="B138" i="29"/>
  <c r="F138" i="29" s="1"/>
  <c r="G138" i="29" s="1"/>
  <c r="B167" i="29"/>
  <c r="F167" i="29" s="1"/>
  <c r="G167" i="29" s="1"/>
  <c r="B158" i="29"/>
  <c r="F158" i="29" s="1"/>
  <c r="G158" i="29" s="1"/>
  <c r="B130" i="29"/>
  <c r="F130" i="29" s="1"/>
  <c r="B172" i="29"/>
  <c r="F172" i="29" s="1"/>
  <c r="G172" i="29" s="1"/>
  <c r="B131" i="29"/>
  <c r="F131" i="29" s="1"/>
  <c r="B188" i="29"/>
  <c r="F188" i="29" s="1"/>
  <c r="G188" i="29" s="1"/>
  <c r="B194" i="29"/>
  <c r="F194" i="29" s="1"/>
  <c r="G194" i="29" s="1"/>
  <c r="B137" i="29"/>
  <c r="F137" i="29" s="1"/>
  <c r="B193" i="29"/>
  <c r="F193" i="29" s="1"/>
  <c r="G193" i="29" s="1"/>
  <c r="B169" i="29"/>
  <c r="F169" i="29" s="1"/>
  <c r="G169" i="29" s="1"/>
  <c r="B168" i="29"/>
  <c r="F168" i="29" s="1"/>
  <c r="G168" i="29" s="1"/>
  <c r="B196" i="29"/>
  <c r="F196" i="29" s="1"/>
  <c r="G196" i="29" s="1"/>
  <c r="B134" i="29"/>
  <c r="F134" i="29" s="1"/>
  <c r="B160" i="29"/>
  <c r="F160" i="29" s="1"/>
  <c r="G160" i="29" s="1"/>
  <c r="B184" i="29"/>
  <c r="F184" i="29" s="1"/>
  <c r="G184" i="29" s="1"/>
  <c r="B125" i="29"/>
  <c r="F125" i="29" s="1"/>
  <c r="B182" i="29"/>
  <c r="F182" i="29" s="1"/>
  <c r="G182" i="29" s="1"/>
  <c r="B187" i="29"/>
  <c r="F187" i="29" s="1"/>
  <c r="G187" i="29" s="1"/>
  <c r="B183" i="29"/>
  <c r="F183" i="29" s="1"/>
  <c r="G183" i="29" s="1"/>
  <c r="B195" i="29"/>
  <c r="F195" i="29" s="1"/>
  <c r="G195" i="29" s="1"/>
  <c r="B129" i="29"/>
  <c r="F129" i="29" s="1"/>
  <c r="B166" i="29"/>
  <c r="F166" i="29" s="1"/>
  <c r="G166" i="29" s="1"/>
  <c r="B126" i="29"/>
  <c r="F126" i="29" s="1"/>
  <c r="G126" i="29" s="1"/>
  <c r="J126" i="29" s="1"/>
  <c r="B133" i="29"/>
  <c r="F133" i="29" s="1"/>
  <c r="B163" i="29"/>
  <c r="F163" i="29" s="1"/>
  <c r="G163" i="29" s="1"/>
  <c r="B162" i="29"/>
  <c r="F162" i="29" s="1"/>
  <c r="G162" i="29" s="1"/>
  <c r="B22" i="3" l="1"/>
  <c r="J139" i="29"/>
  <c r="B21" i="3"/>
  <c r="J138" i="29"/>
  <c r="G136" i="29"/>
  <c r="G133" i="29"/>
  <c r="G137" i="29"/>
  <c r="G131" i="29"/>
  <c r="G128" i="29"/>
  <c r="G129" i="29"/>
  <c r="G127" i="29"/>
  <c r="G132" i="29"/>
  <c r="G124" i="29"/>
  <c r="G134" i="29"/>
  <c r="G130" i="29"/>
  <c r="G125" i="29"/>
  <c r="G135" i="29"/>
  <c r="G173" i="29"/>
  <c r="G197" i="29"/>
  <c r="B9" i="3"/>
  <c r="W44" i="15"/>
  <c r="X50" i="15" s="1"/>
  <c r="X55" i="15" s="1"/>
  <c r="X60" i="15" s="1"/>
  <c r="W41" i="15"/>
  <c r="X49" i="15" s="1"/>
  <c r="X54" i="15" s="1"/>
  <c r="X59" i="15" s="1"/>
  <c r="W38" i="15"/>
  <c r="AR41" i="15"/>
  <c r="B8" i="3" l="1"/>
  <c r="J125" i="29"/>
  <c r="B14" i="3"/>
  <c r="J131" i="29"/>
  <c r="B13" i="3"/>
  <c r="J130" i="29"/>
  <c r="B20" i="3"/>
  <c r="J137" i="29"/>
  <c r="B12" i="3"/>
  <c r="J129" i="29"/>
  <c r="B17" i="3"/>
  <c r="J134" i="29"/>
  <c r="B16" i="3"/>
  <c r="J133" i="29"/>
  <c r="B11" i="3"/>
  <c r="J128" i="29"/>
  <c r="B15" i="3"/>
  <c r="J132" i="29"/>
  <c r="B18" i="3"/>
  <c r="J135" i="29"/>
  <c r="B19" i="3"/>
  <c r="J136" i="29"/>
  <c r="B10" i="3"/>
  <c r="J127" i="29"/>
  <c r="B7" i="3"/>
  <c r="J124" i="29"/>
  <c r="C19" i="32"/>
  <c r="D19" i="32" s="1"/>
  <c r="F16" i="5" s="1"/>
  <c r="C13" i="32"/>
  <c r="D13" i="32" s="1"/>
  <c r="F10" i="5" s="1"/>
  <c r="C23" i="32"/>
  <c r="D23" i="32" s="1"/>
  <c r="F20" i="5" s="1"/>
  <c r="C25" i="32"/>
  <c r="D25" i="32" s="1"/>
  <c r="F22" i="5" s="1"/>
  <c r="C15" i="32"/>
  <c r="D15" i="32" s="1"/>
  <c r="F12" i="5" s="1"/>
  <c r="C10" i="32"/>
  <c r="C11" i="32"/>
  <c r="D11" i="32" s="1"/>
  <c r="F8" i="5" s="1"/>
  <c r="C17" i="32"/>
  <c r="D17" i="32" s="1"/>
  <c r="F14" i="5" s="1"/>
  <c r="C21" i="32"/>
  <c r="D21" i="32" s="1"/>
  <c r="F18" i="5" s="1"/>
  <c r="C12" i="32"/>
  <c r="D12" i="32" s="1"/>
  <c r="F9" i="5" s="1"/>
  <c r="C16" i="32"/>
  <c r="D16" i="32" s="1"/>
  <c r="F13" i="5" s="1"/>
  <c r="C14" i="32"/>
  <c r="D14" i="32" s="1"/>
  <c r="F11" i="5" s="1"/>
  <c r="C20" i="32"/>
  <c r="D20" i="32" s="1"/>
  <c r="F17" i="5" s="1"/>
  <c r="C18" i="32"/>
  <c r="D18" i="32" s="1"/>
  <c r="F15" i="5" s="1"/>
  <c r="C24" i="32"/>
  <c r="D24" i="32" s="1"/>
  <c r="F21" i="5" s="1"/>
  <c r="C22" i="32"/>
  <c r="D22" i="32" s="1"/>
  <c r="F19" i="5" s="1"/>
  <c r="C25" i="31"/>
  <c r="D25" i="31" s="1"/>
  <c r="E22" i="5" s="1"/>
  <c r="C11" i="31"/>
  <c r="D11" i="31" s="1"/>
  <c r="E8" i="5" s="1"/>
  <c r="C23" i="31"/>
  <c r="D23" i="31" s="1"/>
  <c r="E20" i="5" s="1"/>
  <c r="C10" i="31"/>
  <c r="C12" i="31"/>
  <c r="D12" i="31" s="1"/>
  <c r="E9" i="5" s="1"/>
  <c r="C14" i="31"/>
  <c r="D14" i="31" s="1"/>
  <c r="E11" i="5" s="1"/>
  <c r="C22" i="31"/>
  <c r="D22" i="31" s="1"/>
  <c r="E19" i="5" s="1"/>
  <c r="C24" i="31"/>
  <c r="D24" i="31" s="1"/>
  <c r="E21" i="5" s="1"/>
  <c r="C15" i="31"/>
  <c r="D15" i="31" s="1"/>
  <c r="E12" i="5" s="1"/>
  <c r="C21" i="31"/>
  <c r="D21" i="31" s="1"/>
  <c r="E18" i="5" s="1"/>
  <c r="C16" i="31"/>
  <c r="D16" i="31" s="1"/>
  <c r="E13" i="5" s="1"/>
  <c r="C18" i="31"/>
  <c r="D18" i="31" s="1"/>
  <c r="E15" i="5" s="1"/>
  <c r="C20" i="31"/>
  <c r="D20" i="31" s="1"/>
  <c r="E17" i="5" s="1"/>
  <c r="C19" i="31"/>
  <c r="D19" i="31" s="1"/>
  <c r="E16" i="5" s="1"/>
  <c r="C17" i="31"/>
  <c r="D17" i="31" s="1"/>
  <c r="E14" i="5" s="1"/>
  <c r="C13" i="31"/>
  <c r="D13" i="31" s="1"/>
  <c r="E10" i="5" s="1"/>
  <c r="X48" i="15"/>
  <c r="X53" i="15" s="1"/>
  <c r="X58" i="15" s="1"/>
  <c r="G140" i="29"/>
  <c r="AR42" i="15"/>
  <c r="J140" i="29" l="1"/>
  <c r="B27" i="12"/>
  <c r="F13" i="12"/>
  <c r="F12" i="12"/>
  <c r="F22" i="12"/>
  <c r="F20" i="12"/>
  <c r="F17" i="12"/>
  <c r="F10" i="12"/>
  <c r="F16" i="12"/>
  <c r="F11" i="12"/>
  <c r="F9" i="12"/>
  <c r="F21" i="12"/>
  <c r="F18" i="12"/>
  <c r="F15" i="12"/>
  <c r="F8" i="12"/>
  <c r="F19" i="12"/>
  <c r="F14" i="12"/>
  <c r="C26" i="32"/>
  <c r="D10" i="32"/>
  <c r="D10" i="31"/>
  <c r="C26" i="31"/>
  <c r="C19" i="28"/>
  <c r="D19" i="28" s="1"/>
  <c r="C12" i="28"/>
  <c r="D12" i="28" s="1"/>
  <c r="D9" i="5" s="1"/>
  <c r="C10" i="28"/>
  <c r="D10" i="28" s="1"/>
  <c r="C16" i="28"/>
  <c r="D16" i="28" s="1"/>
  <c r="G13" i="12" s="1"/>
  <c r="C14" i="28"/>
  <c r="D14" i="28" s="1"/>
  <c r="G11" i="12" s="1"/>
  <c r="C18" i="28"/>
  <c r="D18" i="28" s="1"/>
  <c r="G15" i="12" s="1"/>
  <c r="C24" i="28"/>
  <c r="D24" i="28" s="1"/>
  <c r="G21" i="12" s="1"/>
  <c r="C23" i="28"/>
  <c r="D23" i="28" s="1"/>
  <c r="G20" i="12" s="1"/>
  <c r="C13" i="28"/>
  <c r="D13" i="28" s="1"/>
  <c r="G10" i="12" s="1"/>
  <c r="C17" i="28"/>
  <c r="D17" i="28" s="1"/>
  <c r="G14" i="12" s="1"/>
  <c r="C25" i="28"/>
  <c r="D25" i="28" s="1"/>
  <c r="D22" i="5" s="1"/>
  <c r="C20" i="28"/>
  <c r="D20" i="28" s="1"/>
  <c r="G17" i="12" s="1"/>
  <c r="C22" i="28"/>
  <c r="D22" i="28" s="1"/>
  <c r="G19" i="12" s="1"/>
  <c r="C15" i="28"/>
  <c r="D15" i="28" s="1"/>
  <c r="G12" i="12" s="1"/>
  <c r="C21" i="28"/>
  <c r="D21" i="28" s="1"/>
  <c r="G18" i="12" s="1"/>
  <c r="C11" i="28"/>
  <c r="D11" i="28" s="1"/>
  <c r="D8" i="5" s="1"/>
  <c r="G9" i="12" l="1"/>
  <c r="D26" i="31"/>
  <c r="E23" i="5" s="1"/>
  <c r="J26" i="31" s="1"/>
  <c r="E7" i="5"/>
  <c r="D26" i="32"/>
  <c r="F7" i="5"/>
  <c r="D13" i="5"/>
  <c r="D14" i="5"/>
  <c r="D10" i="5"/>
  <c r="G22" i="12"/>
  <c r="D11" i="5"/>
  <c r="D20" i="5"/>
  <c r="D17" i="5"/>
  <c r="D18" i="5"/>
  <c r="D21" i="5"/>
  <c r="D19" i="5"/>
  <c r="D12" i="5"/>
  <c r="C26" i="28"/>
  <c r="D15" i="5"/>
  <c r="G8" i="12"/>
  <c r="D16" i="5"/>
  <c r="G16" i="12"/>
  <c r="D26" i="28"/>
  <c r="G7" i="12"/>
  <c r="G26" i="12" s="1"/>
  <c r="D7" i="5"/>
  <c r="O48" i="15"/>
  <c r="P44" i="15"/>
  <c r="O44" i="15"/>
  <c r="P40" i="15"/>
  <c r="AD40" i="15" s="1"/>
  <c r="L50" i="15"/>
  <c r="T36" i="15"/>
  <c r="Q37" i="15" s="1"/>
  <c r="Q41" i="15" s="1"/>
  <c r="Q45" i="15" l="1"/>
  <c r="F23" i="5"/>
  <c r="F7" i="12"/>
  <c r="F26" i="12" s="1"/>
  <c r="F60" i="12" s="1"/>
  <c r="F30" i="12" s="1"/>
  <c r="F32" i="12" s="1"/>
  <c r="G60" i="12"/>
  <c r="G30" i="12" s="1"/>
  <c r="G32" i="12" s="1"/>
  <c r="D23" i="5"/>
  <c r="AE41" i="15"/>
  <c r="AE45" i="15" s="1"/>
  <c r="AE49" i="15" s="1"/>
  <c r="AE53" i="15" s="1"/>
  <c r="AE57" i="15" s="1"/>
  <c r="AI41" i="15"/>
  <c r="AI45" i="15" s="1"/>
  <c r="AI49" i="15" s="1"/>
  <c r="AI53" i="15" s="1"/>
  <c r="AI57" i="15" s="1"/>
  <c r="AK41" i="15"/>
  <c r="AK45" i="15" s="1"/>
  <c r="AK49" i="15" s="1"/>
  <c r="AK53" i="15" s="1"/>
  <c r="AK57" i="15" s="1"/>
  <c r="AH41" i="15"/>
  <c r="AH45" i="15" s="1"/>
  <c r="AH49" i="15" s="1"/>
  <c r="AH53" i="15" s="1"/>
  <c r="AH57" i="15" s="1"/>
  <c r="AG41" i="15"/>
  <c r="AG45" i="15" s="1"/>
  <c r="AG49" i="15" s="1"/>
  <c r="AG53" i="15" s="1"/>
  <c r="AG57" i="15" s="1"/>
  <c r="E36" i="15"/>
  <c r="H36" i="15" s="1"/>
  <c r="H41" i="15" s="1"/>
  <c r="H45" i="15" s="1"/>
  <c r="H49" i="15" s="1"/>
  <c r="H53" i="15" s="1"/>
  <c r="H57" i="15" s="1"/>
  <c r="J26" i="28" l="1"/>
  <c r="G27" i="12"/>
  <c r="O26" i="32"/>
  <c r="F27" i="12"/>
  <c r="E41" i="15"/>
  <c r="E45" i="15" s="1"/>
  <c r="E49" i="15" s="1"/>
  <c r="E53" i="15" s="1"/>
  <c r="E57" i="15" s="1"/>
  <c r="G36" i="15"/>
  <c r="G41" i="15" s="1"/>
  <c r="G45" i="15" s="1"/>
  <c r="G49" i="15" s="1"/>
  <c r="G53" i="15" s="1"/>
  <c r="G57" i="15" s="1"/>
  <c r="F36" i="15"/>
  <c r="F41" i="15" s="1"/>
  <c r="F45" i="15" s="1"/>
  <c r="F49" i="15" s="1"/>
  <c r="F53" i="15" s="1"/>
  <c r="F57" i="15" s="1"/>
  <c r="AU79" i="15" l="1"/>
  <c r="P48" i="15"/>
  <c r="Q49" i="15" s="1"/>
  <c r="Q53" i="15" s="1"/>
  <c r="Q57" i="15" s="1"/>
  <c r="T11" i="15"/>
  <c r="O20" i="15"/>
  <c r="P20" i="15"/>
  <c r="Q21" i="15" s="1"/>
  <c r="O24" i="15"/>
  <c r="B22" i="21" l="1"/>
  <c r="K12" i="25" l="1"/>
  <c r="K20" i="25"/>
  <c r="K15" i="25"/>
  <c r="G22" i="25"/>
  <c r="K13" i="25"/>
  <c r="K21" i="25"/>
  <c r="K9" i="25"/>
  <c r="K14" i="25"/>
  <c r="K6" i="25"/>
  <c r="K8" i="25"/>
  <c r="K16" i="25"/>
  <c r="K10" i="25"/>
  <c r="K18" i="25"/>
  <c r="K7" i="25"/>
  <c r="K11" i="25"/>
  <c r="K19" i="25"/>
  <c r="K17" i="25"/>
  <c r="D11" i="6"/>
  <c r="E11" i="6"/>
  <c r="F11" i="6"/>
  <c r="G11" i="6"/>
  <c r="H11" i="6"/>
  <c r="C11" i="6"/>
  <c r="D10" i="6"/>
  <c r="E10" i="6"/>
  <c r="F10" i="6"/>
  <c r="G10" i="6"/>
  <c r="H10" i="6"/>
  <c r="C10" i="6"/>
  <c r="I22" i="25" l="1"/>
  <c r="H22" i="25"/>
  <c r="K22" i="25"/>
  <c r="L22" i="22"/>
  <c r="U22" i="22" s="1"/>
  <c r="L8" i="22"/>
  <c r="U8" i="22" s="1"/>
  <c r="L9" i="22"/>
  <c r="U9" i="22" s="1"/>
  <c r="L10" i="22"/>
  <c r="U10" i="22" s="1"/>
  <c r="L11" i="22"/>
  <c r="U11" i="22" s="1"/>
  <c r="L12" i="22"/>
  <c r="U12" i="22" s="1"/>
  <c r="L13" i="22"/>
  <c r="U13" i="22" s="1"/>
  <c r="L14" i="22"/>
  <c r="U14" i="22" s="1"/>
  <c r="L15" i="22"/>
  <c r="U15" i="22" s="1"/>
  <c r="L16" i="22"/>
  <c r="U16" i="22" s="1"/>
  <c r="L17" i="22"/>
  <c r="U17" i="22" s="1"/>
  <c r="L18" i="22"/>
  <c r="U18" i="22" s="1"/>
  <c r="L19" i="22"/>
  <c r="U19" i="22" s="1"/>
  <c r="L20" i="22"/>
  <c r="U20" i="22" s="1"/>
  <c r="L21" i="22"/>
  <c r="U21" i="22" s="1"/>
  <c r="L7" i="22"/>
  <c r="U7" i="22" s="1"/>
  <c r="AA23" i="22" l="1"/>
  <c r="Z23" i="22"/>
  <c r="V23" i="22"/>
  <c r="AB23" i="22" l="1"/>
  <c r="B24" i="15" l="1"/>
  <c r="C25" i="15" l="1"/>
  <c r="P24" i="15"/>
  <c r="Q25" i="15" s="1"/>
  <c r="AA22" i="22" l="1"/>
  <c r="AA21" i="22"/>
  <c r="AA20" i="22"/>
  <c r="AA19" i="22"/>
  <c r="AA18" i="22"/>
  <c r="AA17" i="22"/>
  <c r="AA16" i="22"/>
  <c r="AA15" i="22"/>
  <c r="AA14" i="22"/>
  <c r="AA13" i="22"/>
  <c r="AA12" i="22"/>
  <c r="AA11" i="22"/>
  <c r="AA10" i="22"/>
  <c r="AA9" i="22"/>
  <c r="AA8" i="22"/>
  <c r="AA7" i="22"/>
  <c r="L24" i="22"/>
  <c r="F24" i="22"/>
  <c r="I24" i="22"/>
  <c r="AA24" i="22" l="1"/>
  <c r="AT75" i="15"/>
  <c r="AU71" i="15"/>
  <c r="AW72" i="15" s="1"/>
  <c r="AT71" i="15"/>
  <c r="AC24" i="15"/>
  <c r="AV72" i="15" l="1"/>
  <c r="H25" i="15" l="1"/>
  <c r="E25" i="15"/>
  <c r="D25" i="15"/>
  <c r="F25" i="15"/>
  <c r="G25" i="15"/>
  <c r="AU75" i="15"/>
  <c r="AD24" i="15"/>
  <c r="U24" i="22"/>
  <c r="O24" i="22"/>
  <c r="C24" i="22"/>
  <c r="AW76" i="15" l="1"/>
  <c r="AW80" i="15" s="1"/>
  <c r="AW84" i="15" s="1"/>
  <c r="AV76" i="15"/>
  <c r="AV80" i="15" s="1"/>
  <c r="AV84" i="15" s="1"/>
  <c r="AV88" i="15" s="1"/>
  <c r="AW88" i="15" l="1"/>
  <c r="A3" i="22"/>
  <c r="A4" i="3" l="1"/>
  <c r="A14" i="6"/>
  <c r="B43" i="21" l="1"/>
  <c r="C43" i="21"/>
  <c r="D43" i="21"/>
  <c r="E43" i="21"/>
  <c r="F43" i="21"/>
  <c r="F22" i="21"/>
  <c r="B27" i="23" l="1"/>
  <c r="Q21" i="22"/>
  <c r="Q20" i="22"/>
  <c r="Q19" i="22"/>
  <c r="Q18" i="22"/>
  <c r="Q17" i="22"/>
  <c r="Q16" i="22"/>
  <c r="Q15" i="22"/>
  <c r="Q14" i="22"/>
  <c r="Q13" i="22"/>
  <c r="Q12" i="22"/>
  <c r="Q11" i="22"/>
  <c r="Q10" i="22"/>
  <c r="Q9" i="22"/>
  <c r="Q8" i="22"/>
  <c r="Q7" i="22"/>
  <c r="A3" i="9" l="1"/>
  <c r="B9" i="20" l="1"/>
  <c r="L8" i="15" l="1"/>
  <c r="L10" i="15" l="1"/>
  <c r="T12" i="15" s="1"/>
  <c r="Q8" i="15" s="1"/>
  <c r="L42" i="21"/>
  <c r="L41" i="21"/>
  <c r="L40" i="21"/>
  <c r="L39" i="21"/>
  <c r="L38" i="21"/>
  <c r="L37" i="21"/>
  <c r="L36" i="21"/>
  <c r="L35" i="21"/>
  <c r="L34" i="21"/>
  <c r="L33" i="21"/>
  <c r="L32" i="21"/>
  <c r="L31" i="21"/>
  <c r="L30" i="21"/>
  <c r="L29" i="21"/>
  <c r="L28" i="21"/>
  <c r="L27" i="21"/>
  <c r="B24" i="20" l="1"/>
  <c r="B23" i="20"/>
  <c r="B22" i="20"/>
  <c r="B21" i="20"/>
  <c r="B20" i="20"/>
  <c r="B19" i="20"/>
  <c r="B18" i="20"/>
  <c r="B17" i="20"/>
  <c r="B16" i="20"/>
  <c r="B15" i="20"/>
  <c r="B14" i="20"/>
  <c r="B13" i="20"/>
  <c r="B12" i="20"/>
  <c r="B11" i="20"/>
  <c r="B10" i="20"/>
  <c r="A13" i="10"/>
  <c r="B29" i="10"/>
  <c r="B28" i="10"/>
  <c r="B27" i="10"/>
  <c r="B26" i="10"/>
  <c r="B25" i="10"/>
  <c r="B24" i="10"/>
  <c r="B23" i="10"/>
  <c r="B22" i="10"/>
  <c r="B21" i="10"/>
  <c r="B20" i="10"/>
  <c r="B19" i="10"/>
  <c r="B18" i="10"/>
  <c r="B17" i="10"/>
  <c r="B16" i="10"/>
  <c r="B15" i="10"/>
  <c r="B14" i="10"/>
  <c r="A11" i="14"/>
  <c r="A21" i="8"/>
  <c r="L43" i="21"/>
  <c r="F37" i="8"/>
  <c r="F36" i="8"/>
  <c r="F35" i="8"/>
  <c r="F34" i="8"/>
  <c r="F33" i="8"/>
  <c r="F32" i="8"/>
  <c r="F31" i="8"/>
  <c r="F30" i="8"/>
  <c r="F29" i="8"/>
  <c r="F28" i="8"/>
  <c r="F27" i="8"/>
  <c r="F26" i="8"/>
  <c r="F25" i="8"/>
  <c r="F24" i="8"/>
  <c r="F23" i="8"/>
  <c r="F22" i="8"/>
  <c r="E37" i="8"/>
  <c r="E36" i="8"/>
  <c r="E35" i="8"/>
  <c r="E34" i="8"/>
  <c r="E33" i="8"/>
  <c r="E32" i="8"/>
  <c r="E31" i="8"/>
  <c r="E30" i="8"/>
  <c r="E29" i="8"/>
  <c r="E28" i="8"/>
  <c r="E27" i="8"/>
  <c r="E26" i="8"/>
  <c r="E25" i="8"/>
  <c r="E24" i="8"/>
  <c r="E23" i="8"/>
  <c r="E22" i="8"/>
  <c r="D37" i="8"/>
  <c r="D36" i="8"/>
  <c r="D35" i="8"/>
  <c r="D34" i="8"/>
  <c r="D33" i="8"/>
  <c r="D32" i="8"/>
  <c r="D31" i="8"/>
  <c r="D30" i="8"/>
  <c r="D29" i="8"/>
  <c r="D28" i="8"/>
  <c r="D27" i="8"/>
  <c r="D26" i="8"/>
  <c r="D25" i="8"/>
  <c r="D24" i="8"/>
  <c r="D23" i="8"/>
  <c r="D22" i="8"/>
  <c r="C37" i="8"/>
  <c r="C36" i="8"/>
  <c r="C35" i="8"/>
  <c r="C34" i="8"/>
  <c r="C33" i="8"/>
  <c r="C32" i="8"/>
  <c r="C31" i="8"/>
  <c r="C30" i="8"/>
  <c r="C29" i="8"/>
  <c r="C28" i="8"/>
  <c r="C27" i="8"/>
  <c r="C26" i="8"/>
  <c r="C25" i="8"/>
  <c r="C24" i="8"/>
  <c r="C23" i="8"/>
  <c r="C22" i="8"/>
  <c r="B37" i="8"/>
  <c r="B36" i="8"/>
  <c r="B35" i="8"/>
  <c r="B34" i="8"/>
  <c r="B33" i="8"/>
  <c r="B32" i="8"/>
  <c r="B31" i="8"/>
  <c r="B30" i="8"/>
  <c r="B29" i="8"/>
  <c r="B28" i="8"/>
  <c r="B27" i="8"/>
  <c r="B26" i="8"/>
  <c r="B25" i="8"/>
  <c r="B24" i="8"/>
  <c r="B23" i="8"/>
  <c r="B22" i="8"/>
  <c r="M43" i="21"/>
  <c r="B30" i="6"/>
  <c r="B29" i="6"/>
  <c r="B28" i="6"/>
  <c r="B27" i="6"/>
  <c r="B26" i="6"/>
  <c r="B25" i="6"/>
  <c r="B24" i="6"/>
  <c r="B23" i="6"/>
  <c r="B22" i="6"/>
  <c r="B21" i="6"/>
  <c r="B20" i="6"/>
  <c r="B19" i="6"/>
  <c r="B18" i="6"/>
  <c r="B17" i="6"/>
  <c r="B16" i="6"/>
  <c r="B15" i="6"/>
  <c r="F37" i="6" s="1"/>
  <c r="L33" i="8" l="1"/>
  <c r="B54" i="8"/>
  <c r="I54" i="8" s="1"/>
  <c r="B17" i="27" s="1"/>
  <c r="D18" i="12" s="1"/>
  <c r="L27" i="8"/>
  <c r="B48" i="8"/>
  <c r="I48" i="8" s="1"/>
  <c r="B11" i="27" s="1"/>
  <c r="D12" i="12" s="1"/>
  <c r="L25" i="8"/>
  <c r="B46" i="8"/>
  <c r="I46" i="8" s="1"/>
  <c r="B9" i="27" s="1"/>
  <c r="D10" i="12" s="1"/>
  <c r="L26" i="8"/>
  <c r="B47" i="8"/>
  <c r="I47" i="8" s="1"/>
  <c r="B10" i="27" s="1"/>
  <c r="D11" i="12" s="1"/>
  <c r="L34" i="8"/>
  <c r="B55" i="8"/>
  <c r="I55" i="8" s="1"/>
  <c r="B18" i="27" s="1"/>
  <c r="D19" i="12" s="1"/>
  <c r="L29" i="8"/>
  <c r="B50" i="8"/>
  <c r="I50" i="8" s="1"/>
  <c r="B13" i="27" s="1"/>
  <c r="D14" i="12" s="1"/>
  <c r="L37" i="8"/>
  <c r="B58" i="8"/>
  <c r="I58" i="8" s="1"/>
  <c r="B21" i="27" s="1"/>
  <c r="D22" i="12" s="1"/>
  <c r="L22" i="8"/>
  <c r="B43" i="8"/>
  <c r="L30" i="8"/>
  <c r="B51" i="8"/>
  <c r="I51" i="8" s="1"/>
  <c r="B14" i="27" s="1"/>
  <c r="D15" i="12" s="1"/>
  <c r="L35" i="8"/>
  <c r="B56" i="8"/>
  <c r="I56" i="8" s="1"/>
  <c r="B19" i="27" s="1"/>
  <c r="D20" i="12" s="1"/>
  <c r="L36" i="8"/>
  <c r="B57" i="8"/>
  <c r="I57" i="8" s="1"/>
  <c r="B20" i="27" s="1"/>
  <c r="D21" i="12" s="1"/>
  <c r="L23" i="8"/>
  <c r="B44" i="8"/>
  <c r="I44" i="8" s="1"/>
  <c r="B7" i="27" s="1"/>
  <c r="D8" i="12" s="1"/>
  <c r="L31" i="8"/>
  <c r="B52" i="8"/>
  <c r="I52" i="8" s="1"/>
  <c r="B15" i="27" s="1"/>
  <c r="D16" i="12" s="1"/>
  <c r="L28" i="8"/>
  <c r="B49" i="8"/>
  <c r="I49" i="8" s="1"/>
  <c r="B12" i="27" s="1"/>
  <c r="D13" i="12" s="1"/>
  <c r="L24" i="8"/>
  <c r="B45" i="8"/>
  <c r="I45" i="8" s="1"/>
  <c r="B8" i="27" s="1"/>
  <c r="D9" i="12" s="1"/>
  <c r="L32" i="8"/>
  <c r="B53" i="8"/>
  <c r="I53" i="8" s="1"/>
  <c r="B16" i="27" s="1"/>
  <c r="D17" i="12" s="1"/>
  <c r="D14" i="10"/>
  <c r="D18" i="10"/>
  <c r="D22" i="10"/>
  <c r="D26" i="10"/>
  <c r="D15" i="10"/>
  <c r="D19" i="10"/>
  <c r="D23" i="10"/>
  <c r="D27" i="10"/>
  <c r="D16" i="10"/>
  <c r="D20" i="10"/>
  <c r="D24" i="10"/>
  <c r="D28" i="10"/>
  <c r="D17" i="10"/>
  <c r="D21" i="10"/>
  <c r="D25" i="10"/>
  <c r="D29" i="10"/>
  <c r="B25" i="20"/>
  <c r="I43" i="8" l="1"/>
  <c r="B6" i="27" s="1"/>
  <c r="D7" i="12" s="1"/>
  <c r="D26" i="12" s="1"/>
  <c r="B59" i="8"/>
  <c r="I59" i="8" s="1"/>
  <c r="B22" i="27" s="1"/>
  <c r="D27" i="12" s="1"/>
  <c r="B12" i="15"/>
  <c r="P12" i="15" s="1"/>
  <c r="Q13" i="15" s="1"/>
  <c r="D8" i="15"/>
  <c r="C8" i="15"/>
  <c r="F8" i="15"/>
  <c r="G8" i="15"/>
  <c r="G13" i="15" s="1"/>
  <c r="H8" i="15"/>
  <c r="B28" i="14"/>
  <c r="D60" i="12" l="1"/>
  <c r="D30" i="12" s="1"/>
  <c r="D32" i="12" s="1"/>
  <c r="E13" i="15"/>
  <c r="AD12" i="15"/>
  <c r="F13" i="15"/>
  <c r="C13" i="15"/>
  <c r="H13" i="15"/>
  <c r="D13" i="15"/>
  <c r="AI13" i="15" l="1"/>
  <c r="AI17" i="15" s="1"/>
  <c r="AI21" i="15" s="1"/>
  <c r="AE13" i="15"/>
  <c r="AE17" i="15" s="1"/>
  <c r="AE21" i="15" s="1"/>
  <c r="AK13" i="15"/>
  <c r="AK17" i="15" s="1"/>
  <c r="AK21" i="15" s="1"/>
  <c r="AK25" i="15" s="1"/>
  <c r="AH13" i="15"/>
  <c r="AH17" i="15" s="1"/>
  <c r="AH21" i="15" s="1"/>
  <c r="AG13" i="15"/>
  <c r="AG17" i="15" s="1"/>
  <c r="AG21" i="15" s="1"/>
  <c r="AH25" i="15" l="1"/>
  <c r="AE25" i="15"/>
  <c r="AG25" i="15"/>
  <c r="AI25" i="15"/>
  <c r="B31" i="6"/>
  <c r="E69" i="8" l="1"/>
  <c r="B30" i="10"/>
  <c r="D76" i="8" l="1"/>
  <c r="D72" i="8"/>
  <c r="D68" i="8"/>
  <c r="D64" i="8"/>
  <c r="D73" i="8"/>
  <c r="D65" i="8"/>
  <c r="D79" i="8"/>
  <c r="D75" i="8"/>
  <c r="D71" i="8"/>
  <c r="D67" i="8"/>
  <c r="D78" i="8"/>
  <c r="D74" i="8"/>
  <c r="D70" i="8"/>
  <c r="D66" i="8"/>
  <c r="D77" i="8"/>
  <c r="D69" i="8"/>
  <c r="B76" i="8"/>
  <c r="B72" i="8"/>
  <c r="B68" i="8"/>
  <c r="B64" i="8"/>
  <c r="B77" i="8"/>
  <c r="B69" i="8"/>
  <c r="B79" i="8"/>
  <c r="B75" i="8"/>
  <c r="B71" i="8"/>
  <c r="B67" i="8"/>
  <c r="B78" i="8"/>
  <c r="B74" i="8"/>
  <c r="B70" i="8"/>
  <c r="B66" i="8"/>
  <c r="B73" i="8"/>
  <c r="B65" i="8"/>
  <c r="E12" i="14"/>
  <c r="C12" i="14"/>
  <c r="C13" i="14"/>
  <c r="C14" i="14"/>
  <c r="C15" i="14"/>
  <c r="C16" i="14"/>
  <c r="C17" i="14"/>
  <c r="C18" i="14"/>
  <c r="C19" i="14"/>
  <c r="C20" i="14"/>
  <c r="C21" i="14"/>
  <c r="C22" i="14"/>
  <c r="C23" i="14"/>
  <c r="C24" i="14"/>
  <c r="C25" i="14"/>
  <c r="C26" i="14"/>
  <c r="C27" i="14"/>
  <c r="F76" i="8"/>
  <c r="F72" i="8"/>
  <c r="F68" i="8"/>
  <c r="F64" i="8"/>
  <c r="F73" i="8"/>
  <c r="F65" i="8"/>
  <c r="F79" i="8"/>
  <c r="F75" i="8"/>
  <c r="F71" i="8"/>
  <c r="F67" i="8"/>
  <c r="F78" i="8"/>
  <c r="F74" i="8"/>
  <c r="F70" i="8"/>
  <c r="F66" i="8"/>
  <c r="F77" i="8"/>
  <c r="F69" i="8"/>
  <c r="E76" i="8"/>
  <c r="E72" i="8"/>
  <c r="E68" i="8"/>
  <c r="E64" i="8"/>
  <c r="E73" i="8"/>
  <c r="E65" i="8"/>
  <c r="E79" i="8"/>
  <c r="E75" i="8"/>
  <c r="E71" i="8"/>
  <c r="E67" i="8"/>
  <c r="E78" i="8"/>
  <c r="E74" i="8"/>
  <c r="E70" i="8"/>
  <c r="E66" i="8"/>
  <c r="E77" i="8"/>
  <c r="E25" i="14"/>
  <c r="E21" i="14"/>
  <c r="E17" i="14"/>
  <c r="E13" i="14"/>
  <c r="E24" i="14"/>
  <c r="E20" i="14"/>
  <c r="E16" i="14"/>
  <c r="E27" i="14"/>
  <c r="E23" i="14"/>
  <c r="E19" i="14"/>
  <c r="E15" i="14"/>
  <c r="E26" i="14"/>
  <c r="E22" i="14"/>
  <c r="E18" i="14"/>
  <c r="E14" i="14"/>
  <c r="G74" i="8" l="1"/>
  <c r="G75" i="8"/>
  <c r="G64" i="8"/>
  <c r="G73" i="8"/>
  <c r="G65" i="8"/>
  <c r="G78" i="8"/>
  <c r="G79" i="8"/>
  <c r="G68" i="8"/>
  <c r="G66" i="8"/>
  <c r="G67" i="8"/>
  <c r="G69" i="8"/>
  <c r="G72" i="8"/>
  <c r="G70" i="8"/>
  <c r="G71" i="8"/>
  <c r="G77" i="8"/>
  <c r="G76" i="8"/>
  <c r="C28" i="14"/>
  <c r="C11" i="11"/>
  <c r="D11" i="11" s="1"/>
  <c r="C12" i="11"/>
  <c r="D12" i="11" s="1"/>
  <c r="B22" i="12"/>
  <c r="B21" i="9"/>
  <c r="B17" i="9"/>
  <c r="B13" i="9"/>
  <c r="B9" i="9"/>
  <c r="B20" i="9"/>
  <c r="B16" i="9"/>
  <c r="B12" i="9"/>
  <c r="B8" i="9"/>
  <c r="B19" i="9"/>
  <c r="B15" i="9"/>
  <c r="B11" i="9"/>
  <c r="B7" i="9"/>
  <c r="B18" i="9"/>
  <c r="B14" i="9"/>
  <c r="B10" i="9"/>
  <c r="M73" i="6"/>
  <c r="C25" i="11"/>
  <c r="D25" i="11" s="1"/>
  <c r="C24" i="11"/>
  <c r="D24" i="11" s="1"/>
  <c r="C23" i="11"/>
  <c r="D23" i="11" s="1"/>
  <c r="C22" i="11"/>
  <c r="D22" i="11" s="1"/>
  <c r="C21" i="11"/>
  <c r="D21" i="11" s="1"/>
  <c r="C20" i="11"/>
  <c r="D20" i="11" s="1"/>
  <c r="C19" i="11"/>
  <c r="D19" i="11" s="1"/>
  <c r="C18" i="11"/>
  <c r="D18" i="11" s="1"/>
  <c r="C17" i="11"/>
  <c r="D17" i="11" s="1"/>
  <c r="C16" i="11"/>
  <c r="D16" i="11" s="1"/>
  <c r="C15" i="11"/>
  <c r="D15" i="11" s="1"/>
  <c r="C14" i="11"/>
  <c r="D14" i="11" s="1"/>
  <c r="C13" i="11"/>
  <c r="D13" i="11" s="1"/>
  <c r="C10" i="11"/>
  <c r="D10" i="11" s="1"/>
  <c r="K129" i="6"/>
  <c r="J129" i="6"/>
  <c r="I129" i="6"/>
  <c r="H129" i="6"/>
  <c r="G129" i="6"/>
  <c r="F129" i="6"/>
  <c r="K117" i="6"/>
  <c r="J117" i="6"/>
  <c r="I117" i="6"/>
  <c r="H117" i="6"/>
  <c r="G117" i="6"/>
  <c r="F117" i="6"/>
  <c r="K105" i="6"/>
  <c r="J105" i="6"/>
  <c r="I105" i="6"/>
  <c r="H105" i="6"/>
  <c r="G105" i="6"/>
  <c r="F105" i="6"/>
  <c r="K99" i="6"/>
  <c r="J99" i="6"/>
  <c r="I99" i="6"/>
  <c r="H99" i="6"/>
  <c r="G99" i="6"/>
  <c r="F99" i="6"/>
  <c r="K93" i="6"/>
  <c r="J93" i="6"/>
  <c r="I93" i="6"/>
  <c r="H93" i="6"/>
  <c r="G93" i="6"/>
  <c r="F93" i="6"/>
  <c r="K75" i="6"/>
  <c r="J75" i="6"/>
  <c r="I75" i="6"/>
  <c r="H75" i="6"/>
  <c r="G75" i="6"/>
  <c r="F75" i="6"/>
  <c r="K69" i="6"/>
  <c r="J69" i="6"/>
  <c r="I69" i="6"/>
  <c r="H69" i="6"/>
  <c r="G69" i="6"/>
  <c r="F69" i="6"/>
  <c r="K63" i="6"/>
  <c r="J63" i="6"/>
  <c r="I63" i="6"/>
  <c r="H63" i="6"/>
  <c r="G63" i="6"/>
  <c r="F63" i="6"/>
  <c r="K51" i="6"/>
  <c r="J51" i="6"/>
  <c r="I51" i="6"/>
  <c r="H51" i="6"/>
  <c r="G51" i="6"/>
  <c r="F51" i="6"/>
  <c r="K45" i="6"/>
  <c r="J45" i="6"/>
  <c r="I45" i="6"/>
  <c r="H45" i="6"/>
  <c r="G45" i="6"/>
  <c r="F45" i="6"/>
  <c r="M127" i="6"/>
  <c r="K128" i="6"/>
  <c r="J128" i="6"/>
  <c r="I128" i="6"/>
  <c r="H128" i="6"/>
  <c r="M121" i="6"/>
  <c r="K122" i="6"/>
  <c r="J122" i="6"/>
  <c r="I122" i="6"/>
  <c r="H122" i="6"/>
  <c r="M115" i="6"/>
  <c r="K116" i="6"/>
  <c r="J116" i="6"/>
  <c r="I116" i="6"/>
  <c r="H116" i="6"/>
  <c r="M109" i="6"/>
  <c r="K110" i="6"/>
  <c r="J110" i="6"/>
  <c r="I110" i="6"/>
  <c r="H110" i="6"/>
  <c r="M103" i="6"/>
  <c r="K104" i="6"/>
  <c r="J104" i="6"/>
  <c r="I104" i="6"/>
  <c r="H104" i="6"/>
  <c r="M97" i="6"/>
  <c r="K98" i="6"/>
  <c r="J98" i="6"/>
  <c r="I98" i="6"/>
  <c r="H98" i="6"/>
  <c r="M91" i="6"/>
  <c r="K92" i="6"/>
  <c r="K94" i="6" s="1"/>
  <c r="J92" i="6"/>
  <c r="J94" i="6" s="1"/>
  <c r="I92" i="6"/>
  <c r="I94" i="6" s="1"/>
  <c r="H92" i="6"/>
  <c r="H94" i="6" s="1"/>
  <c r="M85" i="6"/>
  <c r="K86" i="6"/>
  <c r="J86" i="6"/>
  <c r="I86" i="6"/>
  <c r="H86" i="6"/>
  <c r="M79" i="6"/>
  <c r="K80" i="6"/>
  <c r="J80" i="6"/>
  <c r="I80" i="6"/>
  <c r="H80" i="6"/>
  <c r="K74" i="6"/>
  <c r="J74" i="6"/>
  <c r="I74" i="6"/>
  <c r="H74" i="6"/>
  <c r="M67" i="6"/>
  <c r="K68" i="6"/>
  <c r="J68" i="6"/>
  <c r="I68" i="6"/>
  <c r="H68" i="6"/>
  <c r="M61" i="6"/>
  <c r="K62" i="6"/>
  <c r="J62" i="6"/>
  <c r="J64" i="6" s="1"/>
  <c r="I62" i="6"/>
  <c r="I64" i="6" s="1"/>
  <c r="H62" i="6"/>
  <c r="H64" i="6" s="1"/>
  <c r="M55" i="6"/>
  <c r="M49" i="6"/>
  <c r="M37" i="6"/>
  <c r="M43" i="6"/>
  <c r="K56" i="6"/>
  <c r="J56" i="6"/>
  <c r="I56" i="6"/>
  <c r="H56" i="6"/>
  <c r="K50" i="6"/>
  <c r="J50" i="6"/>
  <c r="I50" i="6"/>
  <c r="H50" i="6"/>
  <c r="K44" i="6"/>
  <c r="J44" i="6"/>
  <c r="I44" i="6"/>
  <c r="H44" i="6"/>
  <c r="K38" i="6"/>
  <c r="J38" i="6"/>
  <c r="I38" i="6"/>
  <c r="H38" i="6"/>
  <c r="K111" i="6"/>
  <c r="J111" i="6"/>
  <c r="I87" i="6"/>
  <c r="H81" i="6"/>
  <c r="G111" i="6"/>
  <c r="K123" i="6"/>
  <c r="J123" i="6"/>
  <c r="I123" i="6"/>
  <c r="H57" i="6"/>
  <c r="G123" i="6"/>
  <c r="F123" i="6"/>
  <c r="B19" i="12" l="1"/>
  <c r="B20" i="12"/>
  <c r="B21" i="12"/>
  <c r="B8" i="12"/>
  <c r="B9" i="12"/>
  <c r="B10" i="12"/>
  <c r="B11" i="12"/>
  <c r="B12" i="12"/>
  <c r="B13" i="12"/>
  <c r="B14" i="12"/>
  <c r="B15" i="12"/>
  <c r="B16" i="12"/>
  <c r="B17" i="12"/>
  <c r="B18" i="12"/>
  <c r="J8" i="12"/>
  <c r="N8" i="22" s="1"/>
  <c r="P8" i="22" s="1"/>
  <c r="D7" i="9"/>
  <c r="J9" i="12"/>
  <c r="N9" i="22" s="1"/>
  <c r="P9" i="22" s="1"/>
  <c r="D8" i="9"/>
  <c r="J10" i="12"/>
  <c r="N10" i="22" s="1"/>
  <c r="P10" i="22" s="1"/>
  <c r="D9" i="9"/>
  <c r="J11" i="12"/>
  <c r="N11" i="22" s="1"/>
  <c r="P11" i="22" s="1"/>
  <c r="D10" i="9"/>
  <c r="J12" i="12"/>
  <c r="N12" i="22" s="1"/>
  <c r="P12" i="22" s="1"/>
  <c r="D11" i="9"/>
  <c r="J13" i="12"/>
  <c r="N13" i="22" s="1"/>
  <c r="P13" i="22" s="1"/>
  <c r="D12" i="9"/>
  <c r="J14" i="12"/>
  <c r="N14" i="22" s="1"/>
  <c r="P14" i="22" s="1"/>
  <c r="D13" i="9"/>
  <c r="J15" i="12"/>
  <c r="N15" i="22" s="1"/>
  <c r="P15" i="22" s="1"/>
  <c r="D14" i="9"/>
  <c r="J16" i="12"/>
  <c r="N16" i="22" s="1"/>
  <c r="P16" i="22" s="1"/>
  <c r="D15" i="9"/>
  <c r="J17" i="12"/>
  <c r="N17" i="22" s="1"/>
  <c r="P17" i="22" s="1"/>
  <c r="D16" i="9"/>
  <c r="J18" i="12"/>
  <c r="N18" i="22" s="1"/>
  <c r="P18" i="22" s="1"/>
  <c r="D17" i="9"/>
  <c r="J19" i="12"/>
  <c r="N19" i="22" s="1"/>
  <c r="P19" i="22" s="1"/>
  <c r="D18" i="9"/>
  <c r="J20" i="12"/>
  <c r="N20" i="22" s="1"/>
  <c r="P20" i="22" s="1"/>
  <c r="D19" i="9"/>
  <c r="J21" i="12"/>
  <c r="N21" i="22" s="1"/>
  <c r="P21" i="22" s="1"/>
  <c r="D20" i="9"/>
  <c r="J22" i="12"/>
  <c r="N22" i="22" s="1"/>
  <c r="P22" i="22" s="1"/>
  <c r="F111" i="6"/>
  <c r="B22" i="22"/>
  <c r="G80" i="8"/>
  <c r="B7" i="12"/>
  <c r="C22" i="5"/>
  <c r="E22" i="12" s="1"/>
  <c r="H22" i="22" s="1"/>
  <c r="C18" i="5"/>
  <c r="E18" i="12" s="1"/>
  <c r="H18" i="22" s="1"/>
  <c r="C9" i="5"/>
  <c r="E9" i="12" s="1"/>
  <c r="H9" i="22" s="1"/>
  <c r="C17" i="5"/>
  <c r="E17" i="12" s="1"/>
  <c r="H17" i="22" s="1"/>
  <c r="C14" i="5"/>
  <c r="E14" i="12" s="1"/>
  <c r="H14" i="22" s="1"/>
  <c r="C15" i="5"/>
  <c r="E15" i="12" s="1"/>
  <c r="H15" i="22" s="1"/>
  <c r="C8" i="5"/>
  <c r="E8" i="12" s="1"/>
  <c r="H8" i="22" s="1"/>
  <c r="C12" i="5"/>
  <c r="E12" i="12" s="1"/>
  <c r="H12" i="22" s="1"/>
  <c r="C16" i="5"/>
  <c r="E16" i="12" s="1"/>
  <c r="H16" i="22" s="1"/>
  <c r="C20" i="5"/>
  <c r="E20" i="12" s="1"/>
  <c r="H20" i="22" s="1"/>
  <c r="C21" i="9"/>
  <c r="D21" i="9" s="1"/>
  <c r="B6" i="9"/>
  <c r="D30" i="10"/>
  <c r="J27" i="12" s="1"/>
  <c r="C13" i="5"/>
  <c r="E13" i="12" s="1"/>
  <c r="H13" i="22" s="1"/>
  <c r="C21" i="5"/>
  <c r="E21" i="12" s="1"/>
  <c r="H21" i="22" s="1"/>
  <c r="C10" i="5"/>
  <c r="E10" i="12" s="1"/>
  <c r="H10" i="22" s="1"/>
  <c r="C11" i="5"/>
  <c r="E11" i="12" s="1"/>
  <c r="H11" i="22" s="1"/>
  <c r="C19" i="5"/>
  <c r="E19" i="12" s="1"/>
  <c r="H19" i="22" s="1"/>
  <c r="C26" i="11"/>
  <c r="K130" i="6"/>
  <c r="J52" i="6"/>
  <c r="K70" i="6"/>
  <c r="H76" i="6"/>
  <c r="G57" i="6"/>
  <c r="J57" i="6"/>
  <c r="J58" i="6" s="1"/>
  <c r="J70" i="6"/>
  <c r="H100" i="6"/>
  <c r="K57" i="6"/>
  <c r="K58" i="6" s="1"/>
  <c r="J106" i="6"/>
  <c r="H118" i="6"/>
  <c r="J130" i="6"/>
  <c r="F57" i="6"/>
  <c r="H123" i="6"/>
  <c r="H124" i="6" s="1"/>
  <c r="H70" i="6"/>
  <c r="I106" i="6"/>
  <c r="K118" i="6"/>
  <c r="I57" i="6"/>
  <c r="I58" i="6" s="1"/>
  <c r="I70" i="6"/>
  <c r="H130" i="6"/>
  <c r="I130" i="6"/>
  <c r="I118" i="6"/>
  <c r="J118" i="6"/>
  <c r="K106" i="6"/>
  <c r="H106" i="6"/>
  <c r="I100" i="6"/>
  <c r="J100" i="6"/>
  <c r="K100" i="6"/>
  <c r="I76" i="6"/>
  <c r="J76" i="6"/>
  <c r="K76" i="6"/>
  <c r="K64" i="6"/>
  <c r="K52" i="6"/>
  <c r="I52" i="6"/>
  <c r="F87" i="6"/>
  <c r="J46" i="6"/>
  <c r="F81" i="6"/>
  <c r="I81" i="6"/>
  <c r="I82" i="6" s="1"/>
  <c r="K124" i="6"/>
  <c r="K46" i="6"/>
  <c r="K81" i="6"/>
  <c r="K82" i="6" s="1"/>
  <c r="J87" i="6"/>
  <c r="J88" i="6" s="1"/>
  <c r="G81" i="6"/>
  <c r="K87" i="6"/>
  <c r="K88" i="6" s="1"/>
  <c r="J81" i="6"/>
  <c r="J82" i="6" s="1"/>
  <c r="G87" i="6"/>
  <c r="H39" i="6"/>
  <c r="H40" i="6" s="1"/>
  <c r="H111" i="6"/>
  <c r="H112" i="6" s="1"/>
  <c r="I46" i="6"/>
  <c r="H82" i="6"/>
  <c r="I39" i="6"/>
  <c r="I40" i="6" s="1"/>
  <c r="I111" i="6"/>
  <c r="I112" i="6" s="1"/>
  <c r="I88" i="6"/>
  <c r="I124" i="6"/>
  <c r="F39" i="6"/>
  <c r="J39" i="6"/>
  <c r="J40" i="6" s="1"/>
  <c r="H87" i="6"/>
  <c r="H88" i="6" s="1"/>
  <c r="G39" i="6"/>
  <c r="K39" i="6"/>
  <c r="K40" i="6" s="1"/>
  <c r="H46" i="6"/>
  <c r="J124" i="6"/>
  <c r="J112" i="6"/>
  <c r="K112" i="6"/>
  <c r="H58" i="6"/>
  <c r="H52" i="6"/>
  <c r="B49" i="14"/>
  <c r="B48" i="14"/>
  <c r="B47" i="14"/>
  <c r="B46" i="14"/>
  <c r="B45" i="14"/>
  <c r="B44" i="14"/>
  <c r="B43" i="14"/>
  <c r="B42" i="14"/>
  <c r="B41" i="14"/>
  <c r="B40" i="14"/>
  <c r="B39" i="14"/>
  <c r="B38" i="14"/>
  <c r="B37" i="14"/>
  <c r="B36" i="14"/>
  <c r="B35" i="14"/>
  <c r="B34" i="14"/>
  <c r="D26" i="14"/>
  <c r="F58" i="8"/>
  <c r="E58" i="8"/>
  <c r="D58" i="8"/>
  <c r="F56" i="8"/>
  <c r="E56" i="8"/>
  <c r="D56" i="8"/>
  <c r="F54" i="8"/>
  <c r="E54" i="8"/>
  <c r="D54" i="8"/>
  <c r="F53" i="8"/>
  <c r="E53" i="8"/>
  <c r="D53" i="8"/>
  <c r="F52" i="8"/>
  <c r="E52" i="8"/>
  <c r="D52" i="8"/>
  <c r="F49" i="8"/>
  <c r="E49" i="8"/>
  <c r="D49" i="8"/>
  <c r="F48" i="8"/>
  <c r="E48" i="8"/>
  <c r="D48" i="8"/>
  <c r="F47" i="8"/>
  <c r="E47" i="8"/>
  <c r="D47" i="8"/>
  <c r="F45" i="8"/>
  <c r="E45" i="8"/>
  <c r="D45" i="8"/>
  <c r="F44" i="8"/>
  <c r="E44" i="8"/>
  <c r="D44" i="8"/>
  <c r="B12" i="22" l="1"/>
  <c r="D12" i="22" s="1"/>
  <c r="B11" i="22"/>
  <c r="D11" i="22" s="1"/>
  <c r="B17" i="22"/>
  <c r="D17" i="22" s="1"/>
  <c r="B9" i="22"/>
  <c r="D9" i="22" s="1"/>
  <c r="B10" i="22"/>
  <c r="D10" i="22" s="1"/>
  <c r="B16" i="22"/>
  <c r="D16" i="22" s="1"/>
  <c r="B8" i="22"/>
  <c r="D8" i="22" s="1"/>
  <c r="B15" i="22"/>
  <c r="D15" i="22" s="1"/>
  <c r="B21" i="22"/>
  <c r="D21" i="22" s="1"/>
  <c r="B18" i="22"/>
  <c r="D18" i="22" s="1"/>
  <c r="B14" i="22"/>
  <c r="D14" i="22" s="1"/>
  <c r="B20" i="22"/>
  <c r="D20" i="22" s="1"/>
  <c r="B13" i="22"/>
  <c r="D13" i="22" s="1"/>
  <c r="B19" i="22"/>
  <c r="D19" i="22" s="1"/>
  <c r="G48" i="8"/>
  <c r="B11" i="7" s="1"/>
  <c r="G49" i="8"/>
  <c r="B12" i="7" s="1"/>
  <c r="G45" i="8"/>
  <c r="B8" i="7" s="1"/>
  <c r="G58" i="8"/>
  <c r="B21" i="7" s="1"/>
  <c r="G53" i="8"/>
  <c r="B16" i="7" s="1"/>
  <c r="G54" i="8"/>
  <c r="B17" i="7" s="1"/>
  <c r="G47" i="8"/>
  <c r="B10" i="7" s="1"/>
  <c r="G52" i="8"/>
  <c r="B15" i="7" s="1"/>
  <c r="G44" i="8"/>
  <c r="B7" i="7" s="1"/>
  <c r="G56" i="8"/>
  <c r="B19" i="7" s="1"/>
  <c r="J22" i="22"/>
  <c r="J10" i="22"/>
  <c r="J12" i="22"/>
  <c r="J17" i="22"/>
  <c r="J16" i="22"/>
  <c r="J21" i="22"/>
  <c r="J8" i="22"/>
  <c r="J9" i="22"/>
  <c r="J11" i="22"/>
  <c r="J14" i="22"/>
  <c r="J19" i="22"/>
  <c r="J13" i="22"/>
  <c r="J20" i="22"/>
  <c r="J15" i="22"/>
  <c r="J18" i="22"/>
  <c r="J7" i="12"/>
  <c r="D6" i="9"/>
  <c r="B7" i="22"/>
  <c r="B26" i="12"/>
  <c r="B60" i="12" s="1"/>
  <c r="B30" i="12" s="1"/>
  <c r="B32" i="12" s="1"/>
  <c r="B23" i="3"/>
  <c r="B22" i="9"/>
  <c r="E32" i="10" s="1"/>
  <c r="C22" i="9"/>
  <c r="D26" i="11"/>
  <c r="E27" i="12" s="1"/>
  <c r="C7" i="5"/>
  <c r="B50" i="14"/>
  <c r="E28" i="14"/>
  <c r="D27" i="14"/>
  <c r="D15" i="14"/>
  <c r="D19" i="14"/>
  <c r="D23" i="14"/>
  <c r="D12" i="14"/>
  <c r="D16" i="14"/>
  <c r="D20" i="14"/>
  <c r="D24" i="14"/>
  <c r="D13" i="14"/>
  <c r="D17" i="14"/>
  <c r="D21" i="14"/>
  <c r="D25" i="14"/>
  <c r="D14" i="14"/>
  <c r="D18" i="14"/>
  <c r="D22" i="14"/>
  <c r="N7" i="22" l="1"/>
  <c r="P7" i="22" s="1"/>
  <c r="J26" i="12"/>
  <c r="C8" i="23" s="1"/>
  <c r="C5" i="23"/>
  <c r="H18" i="12"/>
  <c r="H22" i="12"/>
  <c r="H20" i="12"/>
  <c r="H17" i="12"/>
  <c r="H8" i="12"/>
  <c r="H16" i="12"/>
  <c r="H12" i="12"/>
  <c r="H11" i="12"/>
  <c r="H13" i="12"/>
  <c r="H9" i="12"/>
  <c r="D7" i="22"/>
  <c r="B24" i="22"/>
  <c r="D24" i="22" s="1"/>
  <c r="C23" i="5"/>
  <c r="J26" i="11" s="1"/>
  <c r="E7" i="12"/>
  <c r="Q22" i="22"/>
  <c r="D22" i="9"/>
  <c r="J60" i="12"/>
  <c r="J30" i="12" s="1"/>
  <c r="J32" i="12" s="1"/>
  <c r="D28" i="14"/>
  <c r="D32" i="10"/>
  <c r="Q24" i="22" l="1"/>
  <c r="K60" i="12"/>
  <c r="N24" i="22"/>
  <c r="P24" i="22" s="1"/>
  <c r="B26" i="22"/>
  <c r="E26" i="12"/>
  <c r="E60" i="12" s="1"/>
  <c r="E30" i="12" s="1"/>
  <c r="E32" i="12" s="1"/>
  <c r="H7" i="22"/>
  <c r="Q26" i="22"/>
  <c r="S24" i="22"/>
  <c r="D34" i="14"/>
  <c r="D35" i="14"/>
  <c r="D37" i="14"/>
  <c r="D39" i="14"/>
  <c r="D36" i="14"/>
  <c r="D46" i="14"/>
  <c r="D44" i="14"/>
  <c r="D42" i="14"/>
  <c r="D49" i="14"/>
  <c r="D45" i="14"/>
  <c r="D47" i="14"/>
  <c r="D38" i="14"/>
  <c r="D41" i="14"/>
  <c r="D43" i="14"/>
  <c r="D48" i="14"/>
  <c r="D40" i="14"/>
  <c r="N26" i="22" l="1"/>
  <c r="H24" i="22"/>
  <c r="H26" i="22" s="1"/>
  <c r="J7" i="22"/>
  <c r="D50" i="14"/>
  <c r="C6" i="7"/>
  <c r="I7" i="12" s="1"/>
  <c r="J24" i="22" l="1"/>
  <c r="C17" i="7"/>
  <c r="C13" i="7"/>
  <c r="I14" i="12" s="1"/>
  <c r="C9" i="7"/>
  <c r="I10" i="12" s="1"/>
  <c r="C11" i="7"/>
  <c r="C15" i="7"/>
  <c r="C14" i="7"/>
  <c r="I15" i="12" s="1"/>
  <c r="C8" i="7"/>
  <c r="C7" i="7"/>
  <c r="C10" i="7"/>
  <c r="C19" i="7"/>
  <c r="C21" i="7"/>
  <c r="C16" i="7"/>
  <c r="C18" i="7"/>
  <c r="I19" i="12" s="1"/>
  <c r="C20" i="7"/>
  <c r="I21" i="12" s="1"/>
  <c r="C12" i="7"/>
  <c r="I18" i="12" l="1"/>
  <c r="D17" i="7"/>
  <c r="E17" i="7" s="1"/>
  <c r="K18" i="22" s="1"/>
  <c r="I16" i="12"/>
  <c r="D15" i="7"/>
  <c r="E15" i="7" s="1"/>
  <c r="K16" i="22" s="1"/>
  <c r="I17" i="12"/>
  <c r="D16" i="7"/>
  <c r="E16" i="7" s="1"/>
  <c r="K17" i="22" s="1"/>
  <c r="I20" i="12"/>
  <c r="D19" i="7"/>
  <c r="E19" i="7" s="1"/>
  <c r="K20" i="22" s="1"/>
  <c r="I8" i="12"/>
  <c r="D7" i="7"/>
  <c r="E7" i="7" s="1"/>
  <c r="K8" i="22" s="1"/>
  <c r="I12" i="12"/>
  <c r="D11" i="7"/>
  <c r="E11" i="7" s="1"/>
  <c r="K12" i="22" s="1"/>
  <c r="I22" i="12"/>
  <c r="D21" i="7"/>
  <c r="E21" i="7" s="1"/>
  <c r="K22" i="22" s="1"/>
  <c r="I11" i="12"/>
  <c r="D10" i="7"/>
  <c r="E10" i="7" s="1"/>
  <c r="K11" i="22" s="1"/>
  <c r="I13" i="12"/>
  <c r="D12" i="7"/>
  <c r="E12" i="7" s="1"/>
  <c r="K13" i="22" s="1"/>
  <c r="I9" i="12"/>
  <c r="D8" i="7"/>
  <c r="E8" i="7" s="1"/>
  <c r="K9" i="22" s="1"/>
  <c r="C22" i="7"/>
  <c r="I27" i="12" s="1"/>
  <c r="I26" i="12" l="1"/>
  <c r="I60" i="12" s="1"/>
  <c r="I30" i="12" s="1"/>
  <c r="I32" i="12" s="1"/>
  <c r="M9" i="22"/>
  <c r="D52" i="14"/>
  <c r="M8" i="22"/>
  <c r="M16" i="22"/>
  <c r="M11" i="22"/>
  <c r="M17" i="22"/>
  <c r="M13" i="22"/>
  <c r="M18" i="22"/>
  <c r="M20" i="22"/>
  <c r="M12" i="22"/>
  <c r="M22" i="22"/>
  <c r="B38" i="8"/>
  <c r="C38" i="8"/>
  <c r="D38" i="8"/>
  <c r="E38" i="8"/>
  <c r="F38" i="8"/>
  <c r="C17" i="8"/>
  <c r="C16" i="8"/>
  <c r="D25" i="30" l="1"/>
  <c r="D24" i="30"/>
  <c r="D43" i="8"/>
  <c r="L38" i="8"/>
  <c r="E46" i="8"/>
  <c r="D57" i="8"/>
  <c r="F57" i="8"/>
  <c r="F46" i="8"/>
  <c r="E57" i="8"/>
  <c r="D46" i="8"/>
  <c r="D50" i="8"/>
  <c r="E55" i="8"/>
  <c r="D55" i="8"/>
  <c r="E51" i="8"/>
  <c r="F50" i="8"/>
  <c r="D51" i="8"/>
  <c r="E50" i="8"/>
  <c r="F43" i="8"/>
  <c r="F55" i="8"/>
  <c r="E43" i="8"/>
  <c r="F51" i="8"/>
  <c r="G51" i="8" l="1"/>
  <c r="B14" i="7" s="1"/>
  <c r="F59" i="8"/>
  <c r="E59" i="8"/>
  <c r="D59" i="8"/>
  <c r="G46" i="8"/>
  <c r="B9" i="7" s="1"/>
  <c r="G57" i="8"/>
  <c r="B20" i="7" s="1"/>
  <c r="G55" i="8"/>
  <c r="B18" i="7" s="1"/>
  <c r="G50" i="8"/>
  <c r="B13" i="7" s="1"/>
  <c r="G43" i="8"/>
  <c r="B6" i="7" s="1"/>
  <c r="D18" i="7" l="1"/>
  <c r="E18" i="7" s="1"/>
  <c r="H19" i="12"/>
  <c r="D14" i="7"/>
  <c r="E14" i="7" s="1"/>
  <c r="H15" i="12"/>
  <c r="D13" i="7"/>
  <c r="E13" i="7" s="1"/>
  <c r="H14" i="12"/>
  <c r="D20" i="7"/>
  <c r="E20" i="7" s="1"/>
  <c r="H21" i="12"/>
  <c r="D6" i="7"/>
  <c r="E6" i="7" s="1"/>
  <c r="H7" i="12"/>
  <c r="D9" i="7"/>
  <c r="E9" i="7" s="1"/>
  <c r="H10" i="12"/>
  <c r="G59" i="8"/>
  <c r="B22" i="7" s="1"/>
  <c r="H27" i="12" s="1"/>
  <c r="H26" i="12" l="1"/>
  <c r="K7" i="22"/>
  <c r="M7" i="22" s="1"/>
  <c r="K15" i="22"/>
  <c r="K10" i="22"/>
  <c r="K14" i="22"/>
  <c r="K19" i="22"/>
  <c r="K21" i="22"/>
  <c r="L59" i="8"/>
  <c r="D22" i="7"/>
  <c r="E22" i="7"/>
  <c r="C7" i="23" l="1"/>
  <c r="H60" i="12"/>
  <c r="H30" i="12" s="1"/>
  <c r="H32" i="12" s="1"/>
  <c r="M14" i="22"/>
  <c r="M15" i="22"/>
  <c r="M10" i="22"/>
  <c r="K24" i="22"/>
  <c r="M24" i="22" s="1"/>
  <c r="M21" i="22"/>
  <c r="M19" i="22"/>
  <c r="K26" i="22" l="1"/>
  <c r="B27" i="20"/>
  <c r="D5" i="20" l="1"/>
  <c r="D24" i="20" s="1"/>
  <c r="G24" i="20" l="1"/>
  <c r="W22" i="22" s="1"/>
  <c r="F24" i="20"/>
  <c r="D16" i="20"/>
  <c r="D18" i="20"/>
  <c r="D9" i="20"/>
  <c r="D12" i="20"/>
  <c r="D21" i="20"/>
  <c r="D19" i="20"/>
  <c r="D17" i="20"/>
  <c r="D22" i="20"/>
  <c r="D15" i="20"/>
  <c r="D23" i="20"/>
  <c r="D13" i="20"/>
  <c r="D14" i="20"/>
  <c r="D20" i="20"/>
  <c r="D11" i="20"/>
  <c r="D10" i="20"/>
  <c r="E12" i="20"/>
  <c r="E24" i="20"/>
  <c r="G20" i="20" l="1"/>
  <c r="W18" i="22" s="1"/>
  <c r="F20" i="20"/>
  <c r="E21" i="20"/>
  <c r="G21" i="20"/>
  <c r="W19" i="22" s="1"/>
  <c r="F21" i="20"/>
  <c r="E11" i="20"/>
  <c r="G11" i="20"/>
  <c r="W9" i="22" s="1"/>
  <c r="F11" i="20"/>
  <c r="E23" i="20"/>
  <c r="G23" i="20"/>
  <c r="W21" i="22" s="1"/>
  <c r="F23" i="20"/>
  <c r="G19" i="20"/>
  <c r="W17" i="22" s="1"/>
  <c r="F19" i="20"/>
  <c r="G18" i="20"/>
  <c r="W16" i="22" s="1"/>
  <c r="F18" i="20"/>
  <c r="E16" i="20"/>
  <c r="G16" i="20"/>
  <c r="W14" i="22" s="1"/>
  <c r="F16" i="20"/>
  <c r="G12" i="20"/>
  <c r="W10" i="22" s="1"/>
  <c r="F12" i="20"/>
  <c r="G15" i="20"/>
  <c r="W13" i="22" s="1"/>
  <c r="F15" i="20"/>
  <c r="G14" i="20"/>
  <c r="W12" i="22" s="1"/>
  <c r="F14" i="20"/>
  <c r="G22" i="20"/>
  <c r="W20" i="22" s="1"/>
  <c r="F22" i="20"/>
  <c r="G10" i="20"/>
  <c r="W8" i="22" s="1"/>
  <c r="F10" i="20"/>
  <c r="G13" i="20"/>
  <c r="W11" i="22" s="1"/>
  <c r="F13" i="20"/>
  <c r="G17" i="20"/>
  <c r="W15" i="22" s="1"/>
  <c r="F17" i="20"/>
  <c r="E9" i="20"/>
  <c r="G9" i="20"/>
  <c r="F9" i="20"/>
  <c r="Y22" i="22"/>
  <c r="E18" i="20"/>
  <c r="E19" i="20"/>
  <c r="E22" i="20"/>
  <c r="E20" i="20"/>
  <c r="E17" i="20"/>
  <c r="E15" i="20"/>
  <c r="E13" i="20"/>
  <c r="E14" i="20"/>
  <c r="D25" i="20"/>
  <c r="E10" i="20"/>
  <c r="X24" i="22" s="1"/>
  <c r="Y10" i="22" l="1"/>
  <c r="W7" i="22"/>
  <c r="Y11" i="22"/>
  <c r="Y8" i="22"/>
  <c r="Y18" i="22"/>
  <c r="Y21" i="22"/>
  <c r="Y16" i="22"/>
  <c r="Y14" i="22"/>
  <c r="Y12" i="22"/>
  <c r="Y17" i="22"/>
  <c r="Y20" i="22"/>
  <c r="Y15" i="22"/>
  <c r="Y9" i="22"/>
  <c r="Y13" i="22"/>
  <c r="Y19" i="22"/>
  <c r="G25" i="20"/>
  <c r="E25" i="20"/>
  <c r="F25" i="20"/>
  <c r="Y7" i="22" l="1"/>
  <c r="W24" i="22"/>
  <c r="D36" i="15" l="1"/>
  <c r="D41" i="15" s="1"/>
  <c r="D45" i="15" s="1"/>
  <c r="D49" i="15" s="1"/>
  <c r="D53" i="15" s="1"/>
  <c r="D57" i="15" s="1"/>
  <c r="C36" i="15"/>
  <c r="C41" i="15" s="1"/>
  <c r="C45" i="15" s="1"/>
  <c r="C49" i="15" s="1"/>
  <c r="C53" i="15" s="1"/>
  <c r="C57" i="15" s="1"/>
  <c r="F38" i="6" l="1"/>
  <c r="F98" i="6"/>
  <c r="F104" i="6"/>
  <c r="F62" i="6"/>
  <c r="F50" i="6"/>
  <c r="F110" i="6"/>
  <c r="F68" i="6"/>
  <c r="F116" i="6"/>
  <c r="F74" i="6"/>
  <c r="F56" i="6"/>
  <c r="F122" i="6"/>
  <c r="F128" i="6"/>
  <c r="F80" i="6"/>
  <c r="F86" i="6"/>
  <c r="F92" i="6"/>
  <c r="F44" i="6"/>
  <c r="G104" i="6"/>
  <c r="G106" i="6" s="1"/>
  <c r="G62" i="6"/>
  <c r="G64" i="6" s="1"/>
  <c r="G50" i="6"/>
  <c r="G52" i="6" s="1"/>
  <c r="G110" i="6"/>
  <c r="G112" i="6" s="1"/>
  <c r="G68" i="6"/>
  <c r="G70" i="6" s="1"/>
  <c r="G116" i="6"/>
  <c r="G118" i="6" s="1"/>
  <c r="G74" i="6"/>
  <c r="G76" i="6" s="1"/>
  <c r="G56" i="6"/>
  <c r="G58" i="6" s="1"/>
  <c r="G122" i="6"/>
  <c r="G124" i="6" s="1"/>
  <c r="G128" i="6"/>
  <c r="G130" i="6" s="1"/>
  <c r="G80" i="6"/>
  <c r="G82" i="6" s="1"/>
  <c r="G38" i="6"/>
  <c r="G40" i="6" s="1"/>
  <c r="G86" i="6"/>
  <c r="G88" i="6" s="1"/>
  <c r="G92" i="6"/>
  <c r="G94" i="6" s="1"/>
  <c r="G44" i="6"/>
  <c r="G46" i="6" s="1"/>
  <c r="G98" i="6"/>
  <c r="G100" i="6" s="1"/>
  <c r="B116" i="6" l="1"/>
  <c r="F118" i="6"/>
  <c r="B118" i="6" s="1"/>
  <c r="B20" i="5" s="1"/>
  <c r="H20" i="5" s="1"/>
  <c r="B110" i="6"/>
  <c r="F112" i="6"/>
  <c r="B112" i="6" s="1"/>
  <c r="B19" i="5" s="1"/>
  <c r="H19" i="5" s="1"/>
  <c r="F46" i="6"/>
  <c r="B46" i="6" s="1"/>
  <c r="B8" i="5" s="1"/>
  <c r="H8" i="5" s="1"/>
  <c r="B44" i="6"/>
  <c r="B80" i="6"/>
  <c r="F82" i="6"/>
  <c r="B82" i="6" s="1"/>
  <c r="B14" i="5" s="1"/>
  <c r="H14" i="5" s="1"/>
  <c r="F52" i="6"/>
  <c r="B52" i="6" s="1"/>
  <c r="B9" i="5" s="1"/>
  <c r="H9" i="5" s="1"/>
  <c r="B50" i="6"/>
  <c r="F130" i="6"/>
  <c r="B130" i="6" s="1"/>
  <c r="B22" i="5" s="1"/>
  <c r="H22" i="5" s="1"/>
  <c r="B128" i="6"/>
  <c r="B62" i="6"/>
  <c r="F64" i="6"/>
  <c r="B64" i="6" s="1"/>
  <c r="B11" i="5" s="1"/>
  <c r="H11" i="5" s="1"/>
  <c r="F70" i="6"/>
  <c r="B70" i="6" s="1"/>
  <c r="B12" i="5" s="1"/>
  <c r="H12" i="5" s="1"/>
  <c r="B68" i="6"/>
  <c r="B122" i="6"/>
  <c r="F124" i="6"/>
  <c r="B124" i="6" s="1"/>
  <c r="B21" i="5" s="1"/>
  <c r="H21" i="5" s="1"/>
  <c r="F106" i="6"/>
  <c r="B106" i="6" s="1"/>
  <c r="B18" i="5" s="1"/>
  <c r="H18" i="5" s="1"/>
  <c r="B104" i="6"/>
  <c r="F94" i="6"/>
  <c r="B94" i="6" s="1"/>
  <c r="B16" i="5" s="1"/>
  <c r="H16" i="5" s="1"/>
  <c r="B92" i="6"/>
  <c r="B56" i="6"/>
  <c r="F58" i="6"/>
  <c r="B58" i="6" s="1"/>
  <c r="B10" i="5" s="1"/>
  <c r="H10" i="5" s="1"/>
  <c r="F100" i="6"/>
  <c r="B100" i="6" s="1"/>
  <c r="B17" i="5" s="1"/>
  <c r="H17" i="5" s="1"/>
  <c r="B98" i="6"/>
  <c r="B86" i="6"/>
  <c r="F88" i="6"/>
  <c r="B88" i="6" s="1"/>
  <c r="B15" i="5" s="1"/>
  <c r="H15" i="5" s="1"/>
  <c r="B74" i="6"/>
  <c r="F76" i="6"/>
  <c r="B76" i="6" s="1"/>
  <c r="B13" i="5" s="1"/>
  <c r="H13" i="5" s="1"/>
  <c r="B38" i="6"/>
  <c r="F40" i="6"/>
  <c r="B40" i="6" s="1"/>
  <c r="D133" i="6" l="1"/>
  <c r="C27" i="12" s="1"/>
  <c r="B7" i="5"/>
  <c r="H7" i="5" s="1"/>
  <c r="C14" i="12"/>
  <c r="C12" i="12"/>
  <c r="C13" i="12"/>
  <c r="C11" i="12"/>
  <c r="C8" i="12"/>
  <c r="C15" i="12"/>
  <c r="C19" i="12"/>
  <c r="C16" i="12"/>
  <c r="C22" i="12"/>
  <c r="C10" i="12"/>
  <c r="C21" i="12"/>
  <c r="C20" i="12"/>
  <c r="C18" i="12"/>
  <c r="C17" i="12"/>
  <c r="C9" i="12"/>
  <c r="E22" i="22" l="1"/>
  <c r="T22" i="22" s="1"/>
  <c r="E9" i="22"/>
  <c r="G9" i="22" s="1"/>
  <c r="E14" i="22"/>
  <c r="G14" i="22" s="1"/>
  <c r="L9" i="12"/>
  <c r="M9" i="12" s="1"/>
  <c r="L12" i="12"/>
  <c r="L21" i="12"/>
  <c r="L10" i="12"/>
  <c r="L22" i="12"/>
  <c r="L14" i="12"/>
  <c r="L19" i="12"/>
  <c r="L8" i="12"/>
  <c r="L13" i="12"/>
  <c r="M13" i="12" s="1"/>
  <c r="L17" i="12"/>
  <c r="L15" i="12"/>
  <c r="M15" i="12" s="1"/>
  <c r="L20" i="12"/>
  <c r="L16" i="12"/>
  <c r="L11" i="12"/>
  <c r="E21" i="22"/>
  <c r="G21" i="22" s="1"/>
  <c r="E17" i="22"/>
  <c r="T17" i="22" s="1"/>
  <c r="E10" i="22"/>
  <c r="T10" i="22" s="1"/>
  <c r="E8" i="22"/>
  <c r="G8" i="22" s="1"/>
  <c r="E11" i="22"/>
  <c r="G11" i="22" s="1"/>
  <c r="E19" i="22"/>
  <c r="G19" i="22" s="1"/>
  <c r="E15" i="22"/>
  <c r="T15" i="22" s="1"/>
  <c r="E12" i="22"/>
  <c r="G12" i="22" s="1"/>
  <c r="E13" i="22"/>
  <c r="E18" i="22"/>
  <c r="T18" i="22" s="1"/>
  <c r="L18" i="12"/>
  <c r="E20" i="22"/>
  <c r="E16" i="22"/>
  <c r="C7" i="12"/>
  <c r="B23" i="5"/>
  <c r="T9" i="22" l="1"/>
  <c r="V9" i="22" s="1"/>
  <c r="E133" i="6"/>
  <c r="H23" i="5"/>
  <c r="G22" i="22"/>
  <c r="T14" i="22"/>
  <c r="V14" i="22" s="1"/>
  <c r="G17" i="22"/>
  <c r="O21" i="12"/>
  <c r="M21" i="12"/>
  <c r="O8" i="12"/>
  <c r="O19" i="12"/>
  <c r="O11" i="12"/>
  <c r="M14" i="12"/>
  <c r="O16" i="12"/>
  <c r="O22" i="12"/>
  <c r="O20" i="12"/>
  <c r="X20" i="12" s="1"/>
  <c r="M10" i="12"/>
  <c r="O15" i="12"/>
  <c r="O17" i="12"/>
  <c r="O12" i="12"/>
  <c r="O13" i="12"/>
  <c r="X13" i="12" s="1"/>
  <c r="O9" i="12"/>
  <c r="M16" i="12"/>
  <c r="M19" i="12"/>
  <c r="O14" i="12"/>
  <c r="M22" i="12"/>
  <c r="M11" i="12"/>
  <c r="M20" i="12"/>
  <c r="O10" i="12"/>
  <c r="M8" i="12"/>
  <c r="G15" i="22"/>
  <c r="M17" i="12"/>
  <c r="M12" i="12"/>
  <c r="G10" i="22"/>
  <c r="T8" i="22"/>
  <c r="V8" i="22" s="1"/>
  <c r="T21" i="22"/>
  <c r="V21" i="22" s="1"/>
  <c r="T11" i="22"/>
  <c r="V11" i="22" s="1"/>
  <c r="T12" i="22"/>
  <c r="V12" i="22" s="1"/>
  <c r="T19" i="22"/>
  <c r="V19" i="22" s="1"/>
  <c r="G18" i="22"/>
  <c r="V22" i="22"/>
  <c r="Z22" i="22"/>
  <c r="AB22" i="22" s="1"/>
  <c r="G16" i="22"/>
  <c r="T16" i="22"/>
  <c r="G20" i="22"/>
  <c r="T20" i="22"/>
  <c r="O18" i="12"/>
  <c r="X18" i="12" s="1"/>
  <c r="M18" i="12"/>
  <c r="V18" i="22"/>
  <c r="Z18" i="22"/>
  <c r="AB18" i="22" s="1"/>
  <c r="V15" i="22"/>
  <c r="Z15" i="22"/>
  <c r="AB15" i="22" s="1"/>
  <c r="G13" i="22"/>
  <c r="T13" i="22"/>
  <c r="V17" i="22"/>
  <c r="Z17" i="22"/>
  <c r="AB17" i="22" s="1"/>
  <c r="E7" i="22"/>
  <c r="C26" i="12"/>
  <c r="L7" i="12"/>
  <c r="V10" i="22"/>
  <c r="Z10" i="22"/>
  <c r="AB10" i="22" s="1"/>
  <c r="Y21" i="12" l="1"/>
  <c r="X21" i="12"/>
  <c r="Y15" i="12"/>
  <c r="X15" i="12"/>
  <c r="Y14" i="12"/>
  <c r="X14" i="12"/>
  <c r="Y22" i="12"/>
  <c r="X22" i="12"/>
  <c r="Y9" i="12"/>
  <c r="X9" i="12"/>
  <c r="Y16" i="12"/>
  <c r="X16" i="12"/>
  <c r="Y8" i="12"/>
  <c r="X8" i="12"/>
  <c r="Y10" i="12"/>
  <c r="X10" i="12"/>
  <c r="Y12" i="12"/>
  <c r="X12" i="12"/>
  <c r="Y11" i="12"/>
  <c r="X11" i="12"/>
  <c r="Y17" i="12"/>
  <c r="X17" i="12"/>
  <c r="Y19" i="12"/>
  <c r="X19" i="12"/>
  <c r="C6" i="23"/>
  <c r="C11" i="23" s="1"/>
  <c r="C60" i="12"/>
  <c r="C30" i="12" s="1"/>
  <c r="C32" i="12" s="1"/>
  <c r="C20" i="30"/>
  <c r="L20" i="30" s="1"/>
  <c r="Y20" i="12"/>
  <c r="C18" i="30"/>
  <c r="L18" i="30" s="1"/>
  <c r="Y18" i="12"/>
  <c r="C13" i="30"/>
  <c r="L13" i="30" s="1"/>
  <c r="Y13" i="12"/>
  <c r="Z9" i="22"/>
  <c r="AB9" i="22" s="1"/>
  <c r="P10" i="12"/>
  <c r="C10" i="30"/>
  <c r="L10" i="30" s="1"/>
  <c r="P9" i="12"/>
  <c r="C9" i="30"/>
  <c r="L9" i="30" s="1"/>
  <c r="P16" i="12"/>
  <c r="C16" i="30"/>
  <c r="L16" i="30" s="1"/>
  <c r="P14" i="12"/>
  <c r="C14" i="30"/>
  <c r="L14" i="30" s="1"/>
  <c r="B11" i="25"/>
  <c r="C12" i="30"/>
  <c r="L12" i="30" s="1"/>
  <c r="P11" i="12"/>
  <c r="C11" i="30"/>
  <c r="L11" i="30" s="1"/>
  <c r="P15" i="12"/>
  <c r="C15" i="30"/>
  <c r="L15" i="30" s="1"/>
  <c r="B7" i="25"/>
  <c r="C8" i="30"/>
  <c r="L8" i="30" s="1"/>
  <c r="B16" i="25"/>
  <c r="C17" i="30"/>
  <c r="L17" i="30" s="1"/>
  <c r="P22" i="12"/>
  <c r="C22" i="30"/>
  <c r="L22" i="30" s="1"/>
  <c r="P19" i="12"/>
  <c r="C19" i="30"/>
  <c r="L19" i="30" s="1"/>
  <c r="C21" i="30"/>
  <c r="L21" i="30" s="1"/>
  <c r="P21" i="12"/>
  <c r="Z14" i="22"/>
  <c r="AB14" i="22" s="1"/>
  <c r="P20" i="12"/>
  <c r="B12" i="25"/>
  <c r="C20" i="25"/>
  <c r="B20" i="25"/>
  <c r="P8" i="12"/>
  <c r="L27" i="12"/>
  <c r="Z19" i="22"/>
  <c r="AB19" i="22" s="1"/>
  <c r="C10" i="25"/>
  <c r="B10" i="25"/>
  <c r="C18" i="25"/>
  <c r="P17" i="12"/>
  <c r="B21" i="25"/>
  <c r="C21" i="25"/>
  <c r="B15" i="25"/>
  <c r="C15" i="25"/>
  <c r="C8" i="25"/>
  <c r="C7" i="25"/>
  <c r="B8" i="25"/>
  <c r="B14" i="25"/>
  <c r="C14" i="25"/>
  <c r="B18" i="25"/>
  <c r="C16" i="25"/>
  <c r="C11" i="25"/>
  <c r="P12" i="12"/>
  <c r="C19" i="25"/>
  <c r="B19" i="25"/>
  <c r="B13" i="25"/>
  <c r="C13" i="25"/>
  <c r="P13" i="12"/>
  <c r="C12" i="25"/>
  <c r="B9" i="25"/>
  <c r="Z21" i="22"/>
  <c r="AB21" i="22" s="1"/>
  <c r="C9" i="25"/>
  <c r="Z8" i="22"/>
  <c r="AB8" i="22" s="1"/>
  <c r="Z11" i="22"/>
  <c r="AB11" i="22" s="1"/>
  <c r="Z12" i="22"/>
  <c r="AB12" i="22" s="1"/>
  <c r="P18" i="12"/>
  <c r="B17" i="25"/>
  <c r="C17" i="25"/>
  <c r="E24" i="22"/>
  <c r="G7" i="22"/>
  <c r="T7" i="22"/>
  <c r="O7" i="12"/>
  <c r="L26" i="12"/>
  <c r="M7" i="12"/>
  <c r="V13" i="22"/>
  <c r="Z13" i="22"/>
  <c r="AB13" i="22" s="1"/>
  <c r="V20" i="22"/>
  <c r="Z20" i="22"/>
  <c r="AB20" i="22" s="1"/>
  <c r="V16" i="22"/>
  <c r="Z16" i="22"/>
  <c r="AB16" i="22" s="1"/>
  <c r="Y7" i="12" l="1"/>
  <c r="X7" i="12"/>
  <c r="X26" i="12" s="1"/>
  <c r="M19" i="30"/>
  <c r="M22" i="30"/>
  <c r="M11" i="30"/>
  <c r="M9" i="30"/>
  <c r="M18" i="30"/>
  <c r="M15" i="30"/>
  <c r="M16" i="30"/>
  <c r="M17" i="30"/>
  <c r="M12" i="30"/>
  <c r="M10" i="30"/>
  <c r="M20" i="30"/>
  <c r="M21" i="30"/>
  <c r="M13" i="30"/>
  <c r="M8" i="30"/>
  <c r="M14" i="30"/>
  <c r="L60" i="12"/>
  <c r="L30" i="12" s="1"/>
  <c r="C147" i="29"/>
  <c r="C7" i="30"/>
  <c r="O26" i="12"/>
  <c r="O60" i="12" s="1"/>
  <c r="O30" i="12" s="1"/>
  <c r="V7" i="22"/>
  <c r="T24" i="22"/>
  <c r="Z7" i="22"/>
  <c r="G24" i="22"/>
  <c r="E26" i="22"/>
  <c r="M26" i="12"/>
  <c r="M60" i="12" s="1"/>
  <c r="P7" i="12"/>
  <c r="B6" i="25"/>
  <c r="B22" i="25" s="1"/>
  <c r="C22" i="25" s="1"/>
  <c r="C6" i="25"/>
  <c r="O8" i="30" l="1"/>
  <c r="V8" i="30"/>
  <c r="W8" i="30" s="1"/>
  <c r="O22" i="30"/>
  <c r="V22" i="30"/>
  <c r="W22" i="30" s="1"/>
  <c r="O13" i="30"/>
  <c r="V13" i="30"/>
  <c r="W13" i="30" s="1"/>
  <c r="O21" i="30"/>
  <c r="V21" i="30"/>
  <c r="W21" i="30" s="1"/>
  <c r="O20" i="30"/>
  <c r="V20" i="30"/>
  <c r="W20" i="30" s="1"/>
  <c r="O12" i="30"/>
  <c r="V12" i="30"/>
  <c r="W12" i="30" s="1"/>
  <c r="O19" i="30"/>
  <c r="V19" i="30"/>
  <c r="W19" i="30" s="1"/>
  <c r="V15" i="30"/>
  <c r="W15" i="30" s="1"/>
  <c r="O15" i="30"/>
  <c r="O11" i="30"/>
  <c r="V11" i="30"/>
  <c r="W11" i="30" s="1"/>
  <c r="O17" i="30"/>
  <c r="V17" i="30"/>
  <c r="W17" i="30" s="1"/>
  <c r="O18" i="30"/>
  <c r="V18" i="30"/>
  <c r="W18" i="30" s="1"/>
  <c r="O9" i="30"/>
  <c r="V9" i="30"/>
  <c r="W9" i="30" s="1"/>
  <c r="O10" i="30"/>
  <c r="V10" i="30"/>
  <c r="W10" i="30" s="1"/>
  <c r="O14" i="30"/>
  <c r="V14" i="30"/>
  <c r="W14" i="30" s="1"/>
  <c r="O16" i="30"/>
  <c r="V16" i="30"/>
  <c r="W16" i="30" s="1"/>
  <c r="L7" i="30"/>
  <c r="L25" i="30" s="1"/>
  <c r="O28" i="12"/>
  <c r="D6" i="25"/>
  <c r="E6" i="25" s="1"/>
  <c r="Y26" i="12"/>
  <c r="D22" i="25"/>
  <c r="D14" i="25"/>
  <c r="D17" i="25"/>
  <c r="D10" i="25"/>
  <c r="D18" i="25"/>
  <c r="D9" i="25"/>
  <c r="D15" i="25"/>
  <c r="D19" i="25"/>
  <c r="D12" i="25"/>
  <c r="D8" i="25"/>
  <c r="D7" i="25"/>
  <c r="D16" i="25"/>
  <c r="D20" i="25"/>
  <c r="D11" i="25"/>
  <c r="D13" i="25"/>
  <c r="D21" i="25"/>
  <c r="C25" i="30"/>
  <c r="Z24" i="22"/>
  <c r="AB7" i="22"/>
  <c r="V24" i="22"/>
  <c r="T26" i="22"/>
  <c r="C41" i="30" l="1"/>
  <c r="C39" i="30"/>
  <c r="Q26" i="30"/>
  <c r="E7" i="25"/>
  <c r="E8" i="25" s="1"/>
  <c r="E9" i="25" s="1"/>
  <c r="E10" i="25" s="1"/>
  <c r="E11" i="25" s="1"/>
  <c r="E12" i="25" s="1"/>
  <c r="E13" i="25" s="1"/>
  <c r="E14" i="25" s="1"/>
  <c r="E15" i="25" s="1"/>
  <c r="E16" i="25" s="1"/>
  <c r="E17" i="25" s="1"/>
  <c r="E18" i="25" s="1"/>
  <c r="E19" i="25" s="1"/>
  <c r="E20" i="25" s="1"/>
  <c r="E21" i="25" s="1"/>
  <c r="Q25" i="30"/>
  <c r="Z26" i="22"/>
  <c r="AB24" i="22"/>
  <c r="J7" i="30"/>
  <c r="M7" i="30" s="1"/>
  <c r="M25" i="30" l="1"/>
  <c r="O7" i="30"/>
  <c r="V7" i="30"/>
  <c r="G25" i="35"/>
  <c r="C18" i="23" s="1"/>
  <c r="C21" i="23" s="1"/>
  <c r="C27" i="23" s="1"/>
  <c r="L7" i="35"/>
  <c r="O25" i="30" l="1"/>
  <c r="W25" i="30"/>
  <c r="V25" i="30"/>
  <c r="W7" i="30"/>
  <c r="J25" i="30"/>
  <c r="L25" i="35"/>
  <c r="N25" i="30" l="1"/>
  <c r="O26" i="30" s="1"/>
  <c r="J39"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tc={C468E7E2-DCC0-4DFC-AEEA-0FB73B306965}</author>
  </authors>
  <commentList>
    <comment ref="F24" authorId="0" shapeId="0" xr:uid="{00000000-0006-0000-0200-000001000000}">
      <text>
        <t>[Trådad kommentar]
I din version av Excel kan du läsa den här trådade kommentaren, men eventuella ändringar i den tas bort om filen öppnas i en senare version av Excel. Läs mer: https://go.microsoft.com/fwlink/?linkid=870924
Kommentar:
    Medis finansieringsmodell</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Windows-användare</author>
  </authors>
  <commentList>
    <comment ref="G29" authorId="0" shapeId="0" xr:uid="{00000000-0006-0000-0900-000001000000}">
      <text>
        <r>
          <rPr>
            <b/>
            <sz val="9"/>
            <color indexed="81"/>
            <rFont val="Tahoma"/>
            <family val="2"/>
          </rPr>
          <t>Windows-användare:</t>
        </r>
        <r>
          <rPr>
            <sz val="9"/>
            <color indexed="81"/>
            <rFont val="Tahoma"/>
            <family val="2"/>
          </rPr>
          <t xml:space="preserve">
Skattesatsen för innevarande år behövs inte i kalkylen, men sparas för kommande år i kalkylen</t>
        </r>
      </text>
    </comment>
  </commentList>
</comments>
</file>

<file path=xl/sharedStrings.xml><?xml version="1.0" encoding="utf-8"?>
<sst xmlns="http://schemas.openxmlformats.org/spreadsheetml/2006/main" count="2280" uniqueCount="631">
  <si>
    <t>Versionshantering</t>
  </si>
  <si>
    <t>Datum</t>
  </si>
  <si>
    <t>Flik</t>
  </si>
  <si>
    <t>Notering</t>
  </si>
  <si>
    <t>Invånare</t>
  </si>
  <si>
    <t>Uppdaterat befolkningsstatistiken</t>
  </si>
  <si>
    <t>Skola data</t>
  </si>
  <si>
    <t>Uppdaterat elevantal</t>
  </si>
  <si>
    <t>Lsandelat totalt</t>
  </si>
  <si>
    <t>Uppdaterat utjämning under övergångsperiod</t>
  </si>
  <si>
    <t>Överföringar jmf</t>
  </si>
  <si>
    <t>Uppdaterad</t>
  </si>
  <si>
    <t>Skola basbelopp!</t>
  </si>
  <si>
    <t>Index estimat - 0</t>
  </si>
  <si>
    <t>Överföringar totalt</t>
  </si>
  <si>
    <t>Utskick kommuner</t>
  </si>
  <si>
    <t>Skattekompl data</t>
  </si>
  <si>
    <t>Preliminär tabell B - Skatteinkomster från förvärvsinkomstbeskattningen</t>
  </si>
  <si>
    <t>Preliminär tabell C - Skattesats, E - skattesats i medeltal. Estminat som 2019</t>
  </si>
  <si>
    <t>Preliminär tabell D - Samfundsskatter</t>
  </si>
  <si>
    <t>Uppdaterat tabell F&amp;L - Invånarantal 1 januari</t>
  </si>
  <si>
    <t>Övriga tabeller på fliken uppdaterade som följd av preliminära/nya uppgifter</t>
  </si>
  <si>
    <t>STR</t>
  </si>
  <si>
    <t>Soctjänst data</t>
  </si>
  <si>
    <t>Uppdaterat ndk för socialtjänsten, PREL uppgifter</t>
  </si>
  <si>
    <t>Uppdaterat prel skatt, förvärvsinkomst och samfund</t>
  </si>
  <si>
    <t>Lsandelar totalt</t>
  </si>
  <si>
    <t>Har justerat tabellen enligt önskemål</t>
  </si>
  <si>
    <t>Basbelopp</t>
  </si>
  <si>
    <t>Korrigerat formelfel respekltive uppdaterat samtliga basbelopp och placerat alla på samma flik (Basbelopp). Basbeloppen är fortfarande beräknade utan indexförändring.</t>
  </si>
  <si>
    <t>Uppdaterat prel skatt per 7/9, förvärvsinkomst och samfund</t>
  </si>
  <si>
    <t>Lsandelar jmf</t>
  </si>
  <si>
    <t>Uppdaterat fliken Överföringar jmf och bytt namn på den till Lsandelar jmf</t>
  </si>
  <si>
    <t>Uppdaterat index för samtliga basbelopp</t>
  </si>
  <si>
    <t>Uppdaterat ndk för socialtjänsten, publicerade uppgifter</t>
  </si>
  <si>
    <t>Uppdaterat skattesatser, ej publicerade uppgifter. OBS! De genomsnittliga skatteprocenterna är vägda med preliminär (från 29.9.2019) beskattningsbar inkomst för 2018</t>
  </si>
  <si>
    <t>Uppdaterat skatteinkomster från förvärv och samfundsskatt</t>
  </si>
  <si>
    <t>Uppdaterat kompensation för övriga skatteförändringar</t>
  </si>
  <si>
    <t>Korrrigerat formelfel i tabellkolumnen G&amp;F - Kompletteringstal</t>
  </si>
  <si>
    <t>Korrigerat formelfel, berör Saltvik, Sottunga, Sund, Vårdö och Mariehamn</t>
  </si>
  <si>
    <t>Sociala</t>
  </si>
  <si>
    <t>Lagt till en kolumn med prel sammanlagd landskapsandel då den slutliga sammanlagda landskapsandelen inte kan vara mindre än 0 euro.</t>
  </si>
  <si>
    <t>Sammanfogat kolumnerna för socialvård och socialtjänst då den slutliga sammanlagda landskapsandelen inte kan vara mindre än 0 euro</t>
  </si>
  <si>
    <t>Nya delar tillfogade (specialfritids), utökade kostnader pålagda på basbeloppen. basbelopp beräknade på bas 2018.indexerat till år 2021. Utökade LS-andelar ca 1,4 miljoner till följd av ökningen av uppgifter</t>
  </si>
  <si>
    <t>Lagförslag 1/2020-2021 | Ålands lagting (lagtinget.ax)</t>
  </si>
  <si>
    <t>KST skilt, ls-andel direkt till kst. KST beräknas på 0-100 åringar.</t>
  </si>
  <si>
    <t>barnomsorg tillhör numera bildningssektorn</t>
  </si>
  <si>
    <t xml:space="preserve">Tillfällig höjning av ls-andelar ca 1,2 miljoner </t>
  </si>
  <si>
    <t>afs2021_nr136.pdf (regeringen.ax)</t>
  </si>
  <si>
    <t>2021 November</t>
  </si>
  <si>
    <t>Prognos år 2022: Nya delar, grundvux och förberedande undervisning, redovisas skilt. Elever HT21 i version prognos november 21</t>
  </si>
  <si>
    <t>Antal elever för hela år 2022, beräknas i ca augusti 2022</t>
  </si>
  <si>
    <t>Första prognos i ca maj 2022 för LS år 2023, sedan ca augusti, ca september, oktober och slutversion november</t>
  </si>
  <si>
    <t>Nya basbelopp beräknas för LS år 2023</t>
  </si>
  <si>
    <t>2024 budgetförslag</t>
  </si>
  <si>
    <t>Landskapsandelar och komplettering av skatteinkomster</t>
  </si>
  <si>
    <t>Budget 2022</t>
  </si>
  <si>
    <t>Budget 2023</t>
  </si>
  <si>
    <t>Förslag 2024</t>
  </si>
  <si>
    <t>Skattekomplettering</t>
  </si>
  <si>
    <t>Socialvårdsområdet</t>
  </si>
  <si>
    <t>Bildningssektorn</t>
  </si>
  <si>
    <t>Kultur</t>
  </si>
  <si>
    <t>Medborgarinstitut 1)</t>
  </si>
  <si>
    <t>Samarbetsstöd 2)</t>
  </si>
  <si>
    <t>Tillfälligt likviditetsstöd</t>
  </si>
  <si>
    <t>Anläggningsstöd</t>
  </si>
  <si>
    <t>Summa</t>
  </si>
  <si>
    <t>Kompensationer</t>
  </si>
  <si>
    <t>Kompensation för övriga ändringar i kommunalbeskattningen 3)</t>
  </si>
  <si>
    <t>Kompensation för minskad samfundsskatt</t>
  </si>
  <si>
    <t xml:space="preserve">Summa </t>
  </si>
  <si>
    <t>Totalt</t>
  </si>
  <si>
    <t>Överföringar till kommunerna - sammanlagt</t>
  </si>
  <si>
    <t>Prognos 2024</t>
  </si>
  <si>
    <t>Budget år 2024 LR</t>
  </si>
  <si>
    <t>Diff 24-23</t>
  </si>
  <si>
    <t>Diff</t>
  </si>
  <si>
    <t>Lsandelar Totalt (exklusive KST)</t>
  </si>
  <si>
    <t>KST</t>
  </si>
  <si>
    <t>Övrigt</t>
  </si>
  <si>
    <t>Samarbetsstöd/Likviditetsstöd</t>
  </si>
  <si>
    <t>Prel. Kompensationer för grund-avdrag</t>
  </si>
  <si>
    <t>Prel. Kompen-sationer för resekostnads-avdrag</t>
  </si>
  <si>
    <t>Prel. Sote-samfundsskatte-ersättning</t>
  </si>
  <si>
    <t>Sammanlagt (utan komp, utan kst)</t>
  </si>
  <si>
    <t>Sammanlagt (med komp, utan kst)</t>
  </si>
  <si>
    <t>TOT</t>
  </si>
  <si>
    <t>Ersättning euro/invånare</t>
  </si>
  <si>
    <t>Totalt (med komp utan kst</t>
  </si>
  <si>
    <t>Totalt (utan kst)</t>
  </si>
  <si>
    <t>Invånare (1.1.2023)</t>
  </si>
  <si>
    <t>Brändö</t>
  </si>
  <si>
    <t>Eckerö</t>
  </si>
  <si>
    <t>Finström</t>
  </si>
  <si>
    <t>Föglö</t>
  </si>
  <si>
    <t>Geta</t>
  </si>
  <si>
    <t>Hammarland</t>
  </si>
  <si>
    <t>Jomala</t>
  </si>
  <si>
    <t>Kumlinge</t>
  </si>
  <si>
    <t>Kökar</t>
  </si>
  <si>
    <t>Lemland</t>
  </si>
  <si>
    <t>Lumparland</t>
  </si>
  <si>
    <t>Saltvik</t>
  </si>
  <si>
    <t>Sottunga</t>
  </si>
  <si>
    <t>Sund</t>
  </si>
  <si>
    <t>Vårdö</t>
  </si>
  <si>
    <t>Mariehamn</t>
  </si>
  <si>
    <t>Åland</t>
  </si>
  <si>
    <t>enligt skild finansieringsmodell, till mh, ej klar siffra</t>
  </si>
  <si>
    <t>***</t>
  </si>
  <si>
    <t>Prognos 24</t>
  </si>
  <si>
    <t>Slutregleras när beskattningen är klar</t>
  </si>
  <si>
    <t xml:space="preserve">Medis finansiering enligt ny finansieringsmodell från år 2023. https://www.regeringen.ax/alandsk-lagstiftning/alex/199375 </t>
  </si>
  <si>
    <t>***Samarbetsstöd och likviditetsstöd, finns "gamla" pengar budgeterat ännu 2024</t>
  </si>
  <si>
    <t>Kompensationerna, se flik kompensationer.</t>
  </si>
  <si>
    <t>Kontroller</t>
  </si>
  <si>
    <t>Sammanställning av landskapsandelarna</t>
  </si>
  <si>
    <t/>
  </si>
  <si>
    <t>2024 prognos (september23)</t>
  </si>
  <si>
    <t>Skattekomp-lettering</t>
  </si>
  <si>
    <t>Grundskola</t>
  </si>
  <si>
    <t>Barnomsorg</t>
  </si>
  <si>
    <t>Grundvux, förberedande undervisning</t>
  </si>
  <si>
    <t>Specialfritids</t>
  </si>
  <si>
    <t>Socialvård     (äldreomsorg)</t>
  </si>
  <si>
    <t>Socialtjänst (till KST)</t>
  </si>
  <si>
    <t>Eur/inv</t>
  </si>
  <si>
    <t>Invånare 6-15</t>
  </si>
  <si>
    <t>Diff mot 23</t>
  </si>
  <si>
    <t>diff</t>
  </si>
  <si>
    <t>Medis</t>
  </si>
  <si>
    <t>Invånare (1.1.2022)</t>
  </si>
  <si>
    <t>Diff mot 22</t>
  </si>
  <si>
    <t>utan temp höjning</t>
  </si>
  <si>
    <t xml:space="preserve">2023 prognos </t>
  </si>
  <si>
    <t>2022 prognos</t>
  </si>
  <si>
    <t>Prognos för år 2024</t>
  </si>
  <si>
    <t xml:space="preserve">Kompensationer: Prognos komp grundavdrag o resekostnadsavdrag uppdateras hösten samt vintern 23, Slutregleras 2025-2026. Prognos komp samfskatt uppdateras våren 2024. </t>
  </si>
  <si>
    <t xml:space="preserve"> Volymen som utbetalas för komp grundavdrag o resekostnadsavdrag år 2024 ger ett förskott som sen slutregleras när beskattningen 2024 är klar. </t>
  </si>
  <si>
    <t>Kompensationer för grundavdrag</t>
  </si>
  <si>
    <t>Kompensationer för resekostnadsavdrag</t>
  </si>
  <si>
    <t>Kompensation för minskade samfundsskatteintäkter</t>
  </si>
  <si>
    <t>Sammanlagt</t>
  </si>
  <si>
    <t>LF</t>
  </si>
  <si>
    <t>avdragen</t>
  </si>
  <si>
    <t>X.000.000 euro avser förskott för skatteår 2023 på en kompensation om XX procent av bortfall av kommunalskatt till följd av grundavdraget och resekostnadsavdraget. Landskapsregeringen avlämnar ett lagförslag om kompensationen.</t>
  </si>
  <si>
    <t>avdrag</t>
  </si>
  <si>
    <t>Lagförslag 11/2022-2023 | Ålands lagting (lagtinget.ax)</t>
  </si>
  <si>
    <t>samf</t>
  </si>
  <si>
    <t>Lagförslag 5/2022-2023 | Ålands lagting (lagtinget.ax)</t>
  </si>
  <si>
    <t>Data</t>
  </si>
  <si>
    <t>Kompensations-belopp:</t>
  </si>
  <si>
    <t>7.8.9 - Grundavdrag, Åland (2021)</t>
  </si>
  <si>
    <t>Skattesats 2023</t>
  </si>
  <si>
    <t>Skatte-inkomstborfall, grundavdrag</t>
  </si>
  <si>
    <t>Andel av inkomstbortfall</t>
  </si>
  <si>
    <t>Cirka fördelning per kommun år 2023, euro</t>
  </si>
  <si>
    <t>7.8.2 - Avdrag för kostnader för resor mellan bostaden och arbetsplatsen, Åland (2021)</t>
  </si>
  <si>
    <t>Skatteinkomstborfall, reseavdrag</t>
  </si>
  <si>
    <t>Kompensation till kommunerna för sänkta samfundsskatteintäkter - skatteår 2023</t>
  </si>
  <si>
    <t>1)</t>
  </si>
  <si>
    <t>ÅD:s beslut om förskott på skatteavräkning för skatteår 2023</t>
  </si>
  <si>
    <t>Enligt uppgifter från Finansministeriet 22.9.2023 har följande uppgifter om statskatterna legat till grund för ÅD:s beslut om förskottsbeloppet:</t>
  </si>
  <si>
    <t>Skatt för förvärvsinkomst</t>
  </si>
  <si>
    <t>Kapitalskatt</t>
  </si>
  <si>
    <t>Samfundsskatt (statens andel)</t>
  </si>
  <si>
    <t>Källskatt (landskapets andel)</t>
  </si>
  <si>
    <t>Tonnageskatt</t>
  </si>
  <si>
    <t>Lotteriskatt</t>
  </si>
  <si>
    <t>2)</t>
  </si>
  <si>
    <t>Skatter sammanlagt</t>
  </si>
  <si>
    <t>3)</t>
  </si>
  <si>
    <t>ÅD:s beslut om förskott - andel av skatter sammanlagt</t>
  </si>
  <si>
    <t>4)</t>
  </si>
  <si>
    <t>Kalkylerat belopp av samfundsskatt som ingår i beslutet om förskott på skatteavräkningen</t>
  </si>
  <si>
    <t>5)</t>
  </si>
  <si>
    <t>Statens andel av samfundsskatten för skattåret 2023 är</t>
  </si>
  <si>
    <t>Se 12 f § 4 p i Lag om skatteredovisning</t>
  </si>
  <si>
    <t>6)</t>
  </si>
  <si>
    <t>Andel som ska kompenseras enligt 2 § (procentenheter)</t>
  </si>
  <si>
    <t>LL (2023:5) om kompensation till kommunerna för sänkta samfundsskatteintäkter</t>
  </si>
  <si>
    <t>7)</t>
  </si>
  <si>
    <t>Kompensationsbelopp som motsvarar 11,25 procentenheter av den samfundsskatt som ingår i skatteavräkningen</t>
  </si>
  <si>
    <t>euro</t>
  </si>
  <si>
    <t>8)</t>
  </si>
  <si>
    <t>Kompensationsbeloppet fördelas mellan kommunerna enligt fördelningsnyckeln för samfundsskatt för respektive skatteår</t>
  </si>
  <si>
    <t>Under skatteåret betalas kompensationen till kommunerna månatligen i förskott</t>
  </si>
  <si>
    <t>se längre ned /Rlö 0611</t>
  </si>
  <si>
    <t>Kompensation till kommunerna för sänkta samfundsskatteintäkter - skatteår 2024</t>
  </si>
  <si>
    <t>prognos</t>
  </si>
  <si>
    <t>5) statens utdelning skatteåret 2024 är 76,31 procent och kommunernas utdelning 23,69 procent,</t>
  </si>
  <si>
    <t>6) statens utdelning skatteåret 2025 är 76,31 procent och kommunernas utdelning 23,69 procent,</t>
  </si>
  <si>
    <t>7) statens utdelning skatteåret 2026 är 77,08 procent och kommunernas utdelning 22,92 procent,</t>
  </si>
  <si>
    <t>8) statens utdelning skatteåret 2027 är 76,94 procent och kommunernas utdelning 23,06 procent,</t>
  </si>
  <si>
    <t>9) statens utdelning skatteåret 2028 är 76,77 procent och kommunernas utdelning 23,23 procent,</t>
  </si>
  <si>
    <t>10) statens utdelning skatteåret 2029 är 76,73 procent och kommunernas utdelning 23,27 procent.</t>
  </si>
  <si>
    <t>Överföringar till kommunerna</t>
  </si>
  <si>
    <t>Landskapsandelar</t>
  </si>
  <si>
    <t>2023</t>
  </si>
  <si>
    <t>2024</t>
  </si>
  <si>
    <t>Bildningssektorn (grk+baom+str+spcfr+förb+grvx)</t>
  </si>
  <si>
    <t>Socialvård (äldreomsorg+kst)</t>
  </si>
  <si>
    <t>Kompensationer o stöd</t>
  </si>
  <si>
    <t>Kompensation av grundavdrag+rese</t>
  </si>
  <si>
    <t>Kompensation för utebliven samfskatt</t>
  </si>
  <si>
    <t>Samarbetsstöd</t>
  </si>
  <si>
    <t>Likviditetsstöd</t>
  </si>
  <si>
    <t>Basbeloppsuppföljning</t>
  </si>
  <si>
    <t>ndk</t>
  </si>
  <si>
    <t>ls</t>
  </si>
  <si>
    <t>skatteintäkter</t>
  </si>
  <si>
    <t>Ls/ndk</t>
  </si>
  <si>
    <t>LR kostnader</t>
  </si>
  <si>
    <t>tbd</t>
  </si>
  <si>
    <t>Egenandelar kommunvis</t>
  </si>
  <si>
    <t>övrigt</t>
  </si>
  <si>
    <t>Olika tabeller</t>
  </si>
  <si>
    <t>Landskapsandel  (€)</t>
  </si>
  <si>
    <t>Landskapsandel (€) /invånare</t>
  </si>
  <si>
    <t>Landskapsandel</t>
  </si>
  <si>
    <t>Kumulativ</t>
  </si>
  <si>
    <t>Ndk/inv</t>
  </si>
  <si>
    <t>Skatt/inv</t>
  </si>
  <si>
    <t>Andel invånare</t>
  </si>
  <si>
    <t>Andel ndk (2019)</t>
  </si>
  <si>
    <t>Andel skatter (2020)</t>
  </si>
  <si>
    <t>Ndk (1000 tals euro)</t>
  </si>
  <si>
    <t>(totala ndk 2019)</t>
  </si>
  <si>
    <t>Sammanställning av landskapsandelar och kompensationer</t>
  </si>
  <si>
    <t xml:space="preserve">LANDSKAPSANDELAR </t>
  </si>
  <si>
    <t>Skattekomp-lettering 2020</t>
  </si>
  <si>
    <t>Skattekomp-lettering 2019</t>
  </si>
  <si>
    <t>%-förändring 2019-2020</t>
  </si>
  <si>
    <t>Grundskola 2020</t>
  </si>
  <si>
    <t>Grundskola  2019</t>
  </si>
  <si>
    <t>STR 2020</t>
  </si>
  <si>
    <t>STR 2019</t>
  </si>
  <si>
    <t>Socialvård 2020</t>
  </si>
  <si>
    <t>Socialvård &amp; Socialtjänst 2019</t>
  </si>
  <si>
    <t>Kultur 2020</t>
  </si>
  <si>
    <t>Kultur 2019</t>
  </si>
  <si>
    <t>Medis 2020</t>
  </si>
  <si>
    <t>Medis 2019</t>
  </si>
  <si>
    <t>Landskaps-andelar Summa 2020</t>
  </si>
  <si>
    <t>Summa 2019</t>
  </si>
  <si>
    <t>Utjämning under övergångsperiod 2020</t>
  </si>
  <si>
    <t>Utjämning under övergångsperiod 2019</t>
  </si>
  <si>
    <t>Landskaps-andelar Totalt 2020</t>
  </si>
  <si>
    <t>Landskaps-andelar Totalt 2019</t>
  </si>
  <si>
    <t>Samarbetsstöd/Ofördelat</t>
  </si>
  <si>
    <t>Förändring €</t>
  </si>
  <si>
    <t>Utjämning under övergångsperiod</t>
  </si>
  <si>
    <t>§ 52</t>
  </si>
  <si>
    <t>Koefficient</t>
  </si>
  <si>
    <t>Koefficienten gör att övergångssystemet utjämnar skillnaden mellan landskapsandelssystemen utan att ta hänsyn tillbesparingen</t>
  </si>
  <si>
    <t>Övergång</t>
  </si>
  <si>
    <t>Lsandel 2017</t>
  </si>
  <si>
    <t>Totalbelopp 2018*</t>
  </si>
  <si>
    <t>Skillnad</t>
  </si>
  <si>
    <t>*enligt LL (2018:102) om ändring av 17 § landskapslagen om landskapsandelar till kommunerna</t>
  </si>
  <si>
    <t>Förändring</t>
  </si>
  <si>
    <t>Beslut 2018-01-10</t>
  </si>
  <si>
    <t>LANDSKAPSANDELAR, KOMPENSATIONER OCH JUSTERING 2017</t>
  </si>
  <si>
    <t>Kommun</t>
  </si>
  <si>
    <t>Socialvård</t>
  </si>
  <si>
    <t>Medborgar-</t>
  </si>
  <si>
    <t>Bibliotek</t>
  </si>
  <si>
    <t>Idr.-, ungd.-</t>
  </si>
  <si>
    <t>SAMMAN-</t>
  </si>
  <si>
    <t>Allm.ls-andel</t>
  </si>
  <si>
    <t>Komplett-</t>
  </si>
  <si>
    <t>Särskilt o</t>
  </si>
  <si>
    <t xml:space="preserve">Komp. för </t>
  </si>
  <si>
    <t>Kompensa-</t>
  </si>
  <si>
    <t>Justering</t>
  </si>
  <si>
    <t>institut</t>
  </si>
  <si>
    <t>o. kulturv.</t>
  </si>
  <si>
    <t>LAGT</t>
  </si>
  <si>
    <t>(inkl.bef.min).</t>
  </si>
  <si>
    <t>ering</t>
  </si>
  <si>
    <t>sammanslagn.</t>
  </si>
  <si>
    <t>utebliven</t>
  </si>
  <si>
    <t xml:space="preserve">tion för </t>
  </si>
  <si>
    <t>av över-</t>
  </si>
  <si>
    <t>uppgiftsbas.</t>
  </si>
  <si>
    <t>av skatte-</t>
  </si>
  <si>
    <t>stöd</t>
  </si>
  <si>
    <t>övr. ls-</t>
  </si>
  <si>
    <t>kap.ink.skatt</t>
  </si>
  <si>
    <t>sjukkostn.avdr.</t>
  </si>
  <si>
    <t>kompensa-</t>
  </si>
  <si>
    <t>överföringar</t>
  </si>
  <si>
    <t>föringarna</t>
  </si>
  <si>
    <t>ls-andelar</t>
  </si>
  <si>
    <t>inkomster</t>
  </si>
  <si>
    <t>(tidigare enl</t>
  </si>
  <si>
    <t>andelar</t>
  </si>
  <si>
    <t>tioner</t>
  </si>
  <si>
    <t>Netto efter</t>
  </si>
  <si>
    <t>prövning)</t>
  </si>
  <si>
    <t>justering</t>
  </si>
  <si>
    <t>skatteår 2016</t>
  </si>
  <si>
    <t>0</t>
  </si>
  <si>
    <t>Ofördelat kommuner</t>
  </si>
  <si>
    <t>SUMMA</t>
  </si>
  <si>
    <t>Komplettering av skatteinkomsterna</t>
  </si>
  <si>
    <t>20-25 §</t>
  </si>
  <si>
    <t>Kompletterings-belopp</t>
  </si>
  <si>
    <t>Kompletteringstal=kommunens skattekraft i medeltal under perioden</t>
  </si>
  <si>
    <t>Kompletteringsgräns=kommunernas sammanlagda skattekraft i medeltal</t>
  </si>
  <si>
    <t>B - Skatteinkomster från förvärvsinkomstbeskattningen</t>
  </si>
  <si>
    <t>Skatteförvaltningen N181. Uppdaterad:</t>
  </si>
  <si>
    <t>C - Skattesats, E - skattesats i medeltal</t>
  </si>
  <si>
    <t>Skatte%</t>
  </si>
  <si>
    <t>Åsub. Uppdaterad:</t>
  </si>
  <si>
    <t>D - Samfundsskatter</t>
  </si>
  <si>
    <t>Samfundsskatter, totalt</t>
  </si>
  <si>
    <t>F&amp;L - Invånarantal 1 januari</t>
  </si>
  <si>
    <t>Befolkning</t>
  </si>
  <si>
    <t>2022</t>
  </si>
  <si>
    <t>A&amp;I - Skattekraft</t>
  </si>
  <si>
    <t>G&amp;F - Kompletteringstal</t>
  </si>
  <si>
    <t>Ålands skattekraft</t>
  </si>
  <si>
    <t>J - Uppräkningsfaktor</t>
  </si>
  <si>
    <t>Uppräkningsfaktor</t>
  </si>
  <si>
    <t>H - Kompletteringsgräns</t>
  </si>
  <si>
    <t>Kompletteringsgräns</t>
  </si>
  <si>
    <t>K&amp;N - Kommunens kompletteringsbelopp</t>
  </si>
  <si>
    <t>Kompl.gräns-Kompl.tal</t>
  </si>
  <si>
    <t>Skattesats 2024</t>
  </si>
  <si>
    <t>Invånare 2023 (1.1)</t>
  </si>
  <si>
    <t>M - Kompletteringsandel</t>
  </si>
  <si>
    <t>Kompletteringsandel</t>
  </si>
  <si>
    <t>Kontroll - Jämförelse med annan uppräkningsfaktor</t>
  </si>
  <si>
    <t>Skattesats</t>
  </si>
  <si>
    <t>DATA</t>
  </si>
  <si>
    <t>SKATTEFÖRVALTNINGEN</t>
  </si>
  <si>
    <t>Uppgifter om redovisningen enligt debitering</t>
  </si>
  <si>
    <t>N181</t>
  </si>
  <si>
    <t xml:space="preserve"> </t>
  </si>
  <si>
    <t>KOMMUNER</t>
  </si>
  <si>
    <t>SKATTEÅR</t>
  </si>
  <si>
    <t>Det redovisade beloppet rättas i november.</t>
  </si>
  <si>
    <t>Skatteåterbäringar dras av och kvarskatter redovisas från och med juli.</t>
  </si>
  <si>
    <t>Lands-kap</t>
  </si>
  <si>
    <t>Kmn   nr</t>
  </si>
  <si>
    <t>Namn</t>
  </si>
  <si>
    <t>Debiterat kommunalskatt</t>
  </si>
  <si>
    <t>Förändring. jämfört med föregående år</t>
  </si>
  <si>
    <t>Kommunernas andel av redovisad skatt</t>
  </si>
  <si>
    <t>Redovisats till kommunerna</t>
  </si>
  <si>
    <t>Rättelse av redovisat belopp</t>
  </si>
  <si>
    <t xml:space="preserve">Andel av skatteåterbäring </t>
  </si>
  <si>
    <t>Rättelse- och återb.-andel, summa</t>
  </si>
  <si>
    <t>Andel av kvarskatt</t>
  </si>
  <si>
    <t>Andel av samfundsskatt</t>
  </si>
  <si>
    <t>Fastighetsskatt 2022</t>
  </si>
  <si>
    <t>Förändring3</t>
  </si>
  <si>
    <t xml:space="preserve">Brändö                                            </t>
  </si>
  <si>
    <t xml:space="preserve">Eckerö                                            </t>
  </si>
  <si>
    <t xml:space="preserve">Finström                                          </t>
  </si>
  <si>
    <t xml:space="preserve">Föglö                                             </t>
  </si>
  <si>
    <t xml:space="preserve">Geta                                              </t>
  </si>
  <si>
    <t xml:space="preserve">Hammarland                                        </t>
  </si>
  <si>
    <t xml:space="preserve">Jomala                                            </t>
  </si>
  <si>
    <t xml:space="preserve">Kumlinge                                          </t>
  </si>
  <si>
    <t xml:space="preserve">Kökar                                             </t>
  </si>
  <si>
    <t xml:space="preserve">Lemland                                           </t>
  </si>
  <si>
    <t xml:space="preserve">Lumparland                                        </t>
  </si>
  <si>
    <t xml:space="preserve">Mariehamn                                         </t>
  </si>
  <si>
    <t xml:space="preserve">Saltvik                                           </t>
  </si>
  <si>
    <t xml:space="preserve">Sottunga                                          </t>
  </si>
  <si>
    <t xml:space="preserve">Sund                                              </t>
  </si>
  <si>
    <t xml:space="preserve">Vårdö                                             </t>
  </si>
  <si>
    <t>2023*</t>
  </si>
  <si>
    <t>Landskomm.</t>
  </si>
  <si>
    <t>-Landsbygden</t>
  </si>
  <si>
    <t>-Skärgården</t>
  </si>
  <si>
    <t>Fotnot: Uppgifterna för den genomsnittliga kommunalskattesatsen är reviderade.</t>
  </si>
  <si>
    <t>Källa: ÅSUB Offentlig ekonomi</t>
  </si>
  <si>
    <t>Landskapsandelar för grundskola</t>
  </si>
  <si>
    <t>Landskapsandel för träningsundervisningen</t>
  </si>
  <si>
    <t>Landskapsandelar för socialvården och socialtjänsten</t>
  </si>
  <si>
    <t>Landskapsandelar för Kultur och Medis</t>
  </si>
  <si>
    <t>§ 18,19,50</t>
  </si>
  <si>
    <t>§ 18, 19, 50</t>
  </si>
  <si>
    <t>§ 50</t>
  </si>
  <si>
    <t>(Rad 4-59 dolda, äldre uppgifter, RLÖ juni 2023)</t>
  </si>
  <si>
    <t>Basbelopp, euro/invånare</t>
  </si>
  <si>
    <t>Basbelop, euro/invånare</t>
  </si>
  <si>
    <t>Intervall</t>
  </si>
  <si>
    <t>0-40</t>
  </si>
  <si>
    <t>41-60</t>
  </si>
  <si>
    <t>61-80</t>
  </si>
  <si>
    <t>81-100</t>
  </si>
  <si>
    <t>101-150</t>
  </si>
  <si>
    <t>151-</t>
  </si>
  <si>
    <t>Kalkyl basbelopp 2015</t>
  </si>
  <si>
    <t>Åldersgrupper</t>
  </si>
  <si>
    <t>0-6</t>
  </si>
  <si>
    <t>65-74</t>
  </si>
  <si>
    <t>75-84</t>
  </si>
  <si>
    <t>85+</t>
  </si>
  <si>
    <t>7-64</t>
  </si>
  <si>
    <t>Grundskola ndk 2015</t>
  </si>
  <si>
    <t>50§</t>
  </si>
  <si>
    <t>Fördelning</t>
  </si>
  <si>
    <t>Antal invånare 6-15, 1.1 2015</t>
  </si>
  <si>
    <t>Enligt mejl från Åsub 13.9.2017 15:23:09</t>
  </si>
  <si>
    <t>Basbelopp grundskola 2015</t>
  </si>
  <si>
    <t>STR kostnader enligt bokslut 2015</t>
  </si>
  <si>
    <t>Antal elever STR medeltal 2015</t>
  </si>
  <si>
    <t>Indexförändring 2016</t>
  </si>
  <si>
    <t>Formel: Grundskolans ndk - STR bokslut</t>
  </si>
  <si>
    <t>Basbelopp STR 2015</t>
  </si>
  <si>
    <t>Indexförändring 2017</t>
  </si>
  <si>
    <t>Indexförändring 2018</t>
  </si>
  <si>
    <t>BSI 2017:</t>
  </si>
  <si>
    <t>BSI 2018:</t>
  </si>
  <si>
    <t>Basår 2018 var år 2000</t>
  </si>
  <si>
    <t>Indexförändring 2019</t>
  </si>
  <si>
    <t>BSI 2019:</t>
  </si>
  <si>
    <t>*År 2019 ändrar basåret till 2015</t>
  </si>
  <si>
    <t>Medis till höger&gt;&gt;&gt;&gt;&gt;&gt;&gt;&gt;&gt;&gt;&gt;&gt;&gt;&gt;&gt;&gt;&gt;&gt;&gt;&gt;&gt;</t>
  </si>
  <si>
    <t xml:space="preserve">Åsub prisidex för basservice </t>
  </si>
  <si>
    <t>(reviderat 16.9 pga statistikcentralens uppdatering)</t>
  </si>
  <si>
    <t>År 2022 års landskapsandelar baserar sig på 2018 års kostnader, uppindexerat till år 2022</t>
  </si>
  <si>
    <t>Landskapsandelar beräkning, grundskola</t>
  </si>
  <si>
    <t>Kalkyl basbelopp 2018</t>
  </si>
  <si>
    <t>LS-andelar, STR</t>
  </si>
  <si>
    <t>LS-andelar, SP.FR, FÖRB,GRVX</t>
  </si>
  <si>
    <t>Landskapsandelar, barnomsorg, socialvård och socialtjänst(kst)</t>
  </si>
  <si>
    <t>Grundskola ndk 2018</t>
  </si>
  <si>
    <t>Barnomsorg (tillhör bildning)</t>
  </si>
  <si>
    <t>Socialvård (Äldreomsorg)</t>
  </si>
  <si>
    <t>Socialtjänst (kst)</t>
  </si>
  <si>
    <t>Ndk-STR</t>
  </si>
  <si>
    <t>STR kostnader enligt bokslut 2018</t>
  </si>
  <si>
    <t>Basbelopp 2021</t>
  </si>
  <si>
    <t>0-100+</t>
  </si>
  <si>
    <t>Antal invånare 6-15, 1.1 2018</t>
  </si>
  <si>
    <t>Antal elever STR medeltal 2018</t>
  </si>
  <si>
    <t>Ndk 2018</t>
  </si>
  <si>
    <t>Basbelopp grundskola 2018</t>
  </si>
  <si>
    <t>Basbelopp STR 2018</t>
  </si>
  <si>
    <t>Specialfritids 2018</t>
  </si>
  <si>
    <t>Barnomsorg (0-6)</t>
  </si>
  <si>
    <t xml:space="preserve">*Antal </t>
  </si>
  <si>
    <t>Socialvård(äldreomsorg)</t>
  </si>
  <si>
    <t>(kostnad för kollektivtrafik EJ borttagen trots kostnadsansvar övertagits, se budget 2022)</t>
  </si>
  <si>
    <t>**Basbelopp</t>
  </si>
  <si>
    <t>Förberedande undervisning</t>
  </si>
  <si>
    <t>Index</t>
  </si>
  <si>
    <t>*Antal</t>
  </si>
  <si>
    <t>index</t>
  </si>
  <si>
    <t>Inv 1.1.2018 i 0-6</t>
  </si>
  <si>
    <t>Grundvux</t>
  </si>
  <si>
    <t>Inv 1.1.2018 i 0-100+</t>
  </si>
  <si>
    <t>Inv 1.1.2018 i 65+</t>
  </si>
  <si>
    <t>Fördelas enligt andel klienter i respektive åldersgrupp</t>
  </si>
  <si>
    <t>Utökade uppgifter, extra kostnad för 2021</t>
  </si>
  <si>
    <t>Indexförändring 2020</t>
  </si>
  <si>
    <t>BSI 2020:</t>
  </si>
  <si>
    <t>Elevhandledning</t>
  </si>
  <si>
    <t>BB, specialfritids</t>
  </si>
  <si>
    <t>(indexerat)</t>
  </si>
  <si>
    <t>Antal invånare 6-15, 1.1 2020</t>
  </si>
  <si>
    <t>BB, förberedande</t>
  </si>
  <si>
    <t>Barn och elevhälsa</t>
  </si>
  <si>
    <t>Pålägg /inv.</t>
  </si>
  <si>
    <t>BB, grundvux</t>
  </si>
  <si>
    <t>Tillfällig barnomsorg</t>
  </si>
  <si>
    <t>Inv 1.1.2020 i 0-6</t>
  </si>
  <si>
    <t>Indexförändring 2021</t>
  </si>
  <si>
    <t>BSI 2021:</t>
  </si>
  <si>
    <t>Prisindex för den kommunala basservicen på Åland (asub.ax)</t>
  </si>
  <si>
    <t>(kostnad för kollektivtrafik EJ borttagen från basbelopp trots kostnadsansvar övertagits, se budget 2022)</t>
  </si>
  <si>
    <t>Förstärkt basservice (4 år)</t>
  </si>
  <si>
    <t>Social rehabilitering</t>
  </si>
  <si>
    <t>Ej gällande för 2023 och framåt</t>
  </si>
  <si>
    <t>Inv 1.1.2020 i 0-100+</t>
  </si>
  <si>
    <t>Uppföljning till år 2023 års ls-andelar. Se https://www.regeringen.ax/alandsk-lagstiftning/alex/2017120</t>
  </si>
  <si>
    <t>Kultur till höger&gt;&gt;&gt;&gt;&gt;&gt;&gt;&gt;&gt;&gt;&gt;&gt;&gt;&gt;&gt;&gt;&gt;&gt;&gt;&gt;&gt;</t>
  </si>
  <si>
    <t>År 2024 års landskapsandelar baserar sig på 2021 års kostnader, uppindexerat till år 2024</t>
  </si>
  <si>
    <t>LS-andelar, Specialfritids, förberedande undervisning, grundskoleutbildning för andra än läropliktiga</t>
  </si>
  <si>
    <t>(Träningsundervisning)</t>
  </si>
  <si>
    <t>Kalkyl basbelopp 21, ndk, inv, basbelopp</t>
  </si>
  <si>
    <t>Kalkyl basbelopp 2021</t>
  </si>
  <si>
    <t>Grundskola ndk 2021</t>
  </si>
  <si>
    <t>Socialvård (äldreomsorg)</t>
  </si>
  <si>
    <t>Ndk-STR-SPEC-Förb-Grvx</t>
  </si>
  <si>
    <t>STR kostnader enligt bokslut 2021</t>
  </si>
  <si>
    <t>Antal invånare 6-15, 1.1 2021</t>
  </si>
  <si>
    <t>Antal elever STR medeltal 2021</t>
  </si>
  <si>
    <t>Basbelopp grundskola 2021</t>
  </si>
  <si>
    <t>Basbelopp STR 2021</t>
  </si>
  <si>
    <t>Inv 1.1.2021 i 0-6</t>
  </si>
  <si>
    <t>Inv 1.1.2021 i 0-100+</t>
  </si>
  <si>
    <t>Inv 1.1.2021 i 65+</t>
  </si>
  <si>
    <t>Indexförändring 2022</t>
  </si>
  <si>
    <t>BSI 2022:</t>
  </si>
  <si>
    <t>Basbelopp barnomsorg</t>
  </si>
  <si>
    <t>Basbelopp KST (socialtjänst)</t>
  </si>
  <si>
    <t>Använder prel-indexsiffror ty försenat från uppgiftslämnare. Se mail från åsub. /RLÖ 18092023</t>
  </si>
  <si>
    <t>Basbelopp Äldreomsorg</t>
  </si>
  <si>
    <t>Indexförändring 2023</t>
  </si>
  <si>
    <t>BSI 2023:</t>
  </si>
  <si>
    <t>**Basbelopp 65-74</t>
  </si>
  <si>
    <t>hämtas från separat beräkning</t>
  </si>
  <si>
    <t>**Basbelopp 75-84</t>
  </si>
  <si>
    <t>OBS kommentar index</t>
  </si>
  <si>
    <t>**Basbelopp 85+</t>
  </si>
  <si>
    <t>Ersätts genom ny finansieringsmodell, basbeloppet används ej för medis för år 2023 framåt. (Rlö juni 23)</t>
  </si>
  <si>
    <t>Basbelopp 2021 (Kostnad x2 för förb o grvux)</t>
  </si>
  <si>
    <t>Kost. Spec.frtd. 2021</t>
  </si>
  <si>
    <t>Kost. Förb und. 21</t>
  </si>
  <si>
    <t>Kost. Grundvux 21</t>
  </si>
  <si>
    <t>skillnad fördelning samfundsskatter,  höjning till kommunerna 2020-2021... Redogörelse senare... Rlö2409</t>
  </si>
  <si>
    <t>LRs övertagande av kostnadsansvar kollektivtrafik inför 2022, redogör senare</t>
  </si>
  <si>
    <t>Landskapsandelar för grundskola och träningsundervisning (STR) samt specialfritids, grvux och förb</t>
  </si>
  <si>
    <t>grvux</t>
  </si>
  <si>
    <t>förb</t>
  </si>
  <si>
    <t>Grundskola, STR &amp; Specfr</t>
  </si>
  <si>
    <t>9-10 §</t>
  </si>
  <si>
    <t>61-80*</t>
  </si>
  <si>
    <t>Landskapsandelsprocent</t>
  </si>
  <si>
    <t>Fasta Åland</t>
  </si>
  <si>
    <t xml:space="preserve">Skärgård </t>
  </si>
  <si>
    <t>Ytterskärgård</t>
  </si>
  <si>
    <t>6-15 år</t>
  </si>
  <si>
    <t>Antal elever</t>
  </si>
  <si>
    <t>Normkostnad</t>
  </si>
  <si>
    <t>Ersättningsgrad</t>
  </si>
  <si>
    <t>Lsandel</t>
  </si>
  <si>
    <t>Grundskola lsandelar, totalt</t>
  </si>
  <si>
    <t>§ 11</t>
  </si>
  <si>
    <t>Formel: (kommunens normkostnad=basbelopp*antal STR-elever)*ersättningsgrad</t>
  </si>
  <si>
    <t>Basbelopp:</t>
  </si>
  <si>
    <t>Lsandel STR</t>
  </si>
  <si>
    <t>Kontroll</t>
  </si>
  <si>
    <t>Antal elever hösterminen 2023</t>
  </si>
  <si>
    <t>Uppdaterad:</t>
  </si>
  <si>
    <t>Landskapsandel för förberedande undervisning</t>
  </si>
  <si>
    <t>Formel: (kommunens normkostnad=basbelopp*antal elever)*ersättningsgrad</t>
  </si>
  <si>
    <t>Lsandel Specialfritids</t>
  </si>
  <si>
    <t>Landskapsandel för grundvux</t>
  </si>
  <si>
    <t>Landskapsandel för specialfritids</t>
  </si>
  <si>
    <t>Formel: (kommunens normkostnad=basbelopp*antal specfr-elever)*ersättningsgrad</t>
  </si>
  <si>
    <t>Landskapsandel förbarnomsorgen</t>
  </si>
  <si>
    <t>Landskapsandel för socialvården; äldreomsorg samt samordnad socialtjänst</t>
  </si>
  <si>
    <t>Prel Sociala lsandelar</t>
  </si>
  <si>
    <t>Sociala lsandelar</t>
  </si>
  <si>
    <t>Landskapsandel för barnomsorg samt socialvård(äldreomsorg)</t>
  </si>
  <si>
    <t>5 §</t>
  </si>
  <si>
    <t>Formel: Basbelopp * invånarantal i åldersgruppen * ersättningsgrad</t>
  </si>
  <si>
    <t>Äldreomsorg</t>
  </si>
  <si>
    <t>(Tillhör bildningssektorn)</t>
  </si>
  <si>
    <t>Åldersgrupp</t>
  </si>
  <si>
    <t>2024 Barnomsorg</t>
  </si>
  <si>
    <t>Skärgård</t>
  </si>
  <si>
    <t xml:space="preserve">Ytterskärgård </t>
  </si>
  <si>
    <t>2022-01-01</t>
  </si>
  <si>
    <t>Lsandel för socialvården (barn- och äldreomsorg)</t>
  </si>
  <si>
    <t>Lsandel för socialvården (äldreomsorg)</t>
  </si>
  <si>
    <t>Totalt äldreomsorg</t>
  </si>
  <si>
    <t>Totalt barnomsorg</t>
  </si>
  <si>
    <t>Kalkylerade nettodriftskostnader för socialvården (barn- och äldreomsorg) till socialvårdsplanen</t>
  </si>
  <si>
    <t>Kalkylerade nettodriftskostnader för socialvården (äldreomsorg) till socialvårdsplanen</t>
  </si>
  <si>
    <t>Kommunernas nettodriftskostnader för äldreomsorg, enligt uppgiftsklass och kommun år 2021 (1 000 euro)</t>
  </si>
  <si>
    <t>Institutionsvård för äldre</t>
  </si>
  <si>
    <t>Bo.service för äldre med heldygnsoms.</t>
  </si>
  <si>
    <t>Övriga tjänster för äldre</t>
  </si>
  <si>
    <t>Hemservice</t>
  </si>
  <si>
    <t>TOTALT</t>
  </si>
  <si>
    <t>Kommunernas nettodriftskostnader för äldreomsorg, enligt uppgiftsklass och kommun år 2018 (1 000 euro)</t>
  </si>
  <si>
    <t>Landskapsandel för den samordnade socialtjänsten (KST)</t>
  </si>
  <si>
    <t>6-7, 51 §</t>
  </si>
  <si>
    <t>Formel prel. lsandel: Basbelopp * invånarantal i åldersgruppen * ersättningsgrad</t>
  </si>
  <si>
    <t>13,2% tillfälligt 4 år, sen 12,8 till år 2025 (ser över basbelopp här)</t>
  </si>
  <si>
    <t>Hela</t>
  </si>
  <si>
    <t>Kalkylerad ndk (normkostnad)</t>
  </si>
  <si>
    <t>Andel</t>
  </si>
  <si>
    <t>Lsandel för socialtjänsten</t>
  </si>
  <si>
    <t>Lsandel slutlig</t>
  </si>
  <si>
    <t>Kultur&amp;Medis</t>
  </si>
  <si>
    <t>Lsandelen för Medis ska utbetalas till huvudmannen</t>
  </si>
  <si>
    <t>12-13 §</t>
  </si>
  <si>
    <t>Formel: Basbelopp*invånarantal*ersättningsgrad</t>
  </si>
  <si>
    <t>Basbelopp Kultur</t>
  </si>
  <si>
    <t xml:space="preserve">Medisersätts utanför LS-systemet från och med 2023. </t>
  </si>
  <si>
    <t>https://www.regeringen.ax/alandsk-lagstiftning/alex/199375</t>
  </si>
  <si>
    <t>Ersättningsgrad Kultur</t>
  </si>
  <si>
    <t>https://lagtinget.ax/dokument/lagforslag-62022-2023-52740</t>
  </si>
  <si>
    <t>Lsandel Kultur</t>
  </si>
  <si>
    <t>Invånare - grunduppgifter</t>
  </si>
  <si>
    <t>Åsub</t>
  </si>
  <si>
    <t>2023 april</t>
  </si>
  <si>
    <t>Hela befolkningen</t>
  </si>
  <si>
    <t>Socialvård &amp; Socialtjänst</t>
  </si>
  <si>
    <t>2023-01-01</t>
  </si>
  <si>
    <t>Invånare - grunduppgifter (2023 års ls-andelar)</t>
  </si>
  <si>
    <t>Ålands statistik- och utredningsbyrå</t>
  </si>
  <si>
    <t>Kommunernas befolkning efter åldersgrupper 2022 (enligt landskapsandelsberäkningarna)</t>
  </si>
  <si>
    <t>Sociala sektorn</t>
  </si>
  <si>
    <t>Grundskolan</t>
  </si>
  <si>
    <t>0-5</t>
  </si>
  <si>
    <t>6-15</t>
  </si>
  <si>
    <t>16+</t>
  </si>
  <si>
    <t>Antal</t>
  </si>
  <si>
    <t>Procent</t>
  </si>
  <si>
    <t>Not. Tabellen innehåller de åldersindelningar som ligger till grund för beräkningen av landskapsandelarna</t>
  </si>
  <si>
    <t>för socialvård och socialtjänst repektive grundskola</t>
  </si>
  <si>
    <t>Källa: ÅSUB Befolkning, Myndigheten för digitalisering och befolkningsdata</t>
  </si>
  <si>
    <t>Senast uppdaterad 11.4.2023</t>
  </si>
  <si>
    <t>Skattesatser för kommunal inkomstskatt och fastighetsskatt 2023 och 2024</t>
  </si>
  <si>
    <t>Kommunalskatt,</t>
  </si>
  <si>
    <t>Fastighetsskatt, procent</t>
  </si>
  <si>
    <t>procent</t>
  </si>
  <si>
    <t>Stadigvarande bostad</t>
  </si>
  <si>
    <t>Annan bostad</t>
  </si>
  <si>
    <t>Allmän skatteprocent</t>
  </si>
  <si>
    <t>Fotnot: Uppgifterna för den genomsnittliga kommunalskattesatsen är reviderade</t>
  </si>
  <si>
    <t>Uppdaterad 21.11.2023</t>
  </si>
  <si>
    <t>Skattesatserna är enligt ÅSUB:s publicering 21.11.2023</t>
  </si>
  <si>
    <t>2023 och 2024 vägda medeltal preliminära för år 2025 års ls-andelar</t>
  </si>
  <si>
    <t>Skattesatser för kommunal inkomstskatt 1998-2024</t>
  </si>
  <si>
    <t>2024*</t>
  </si>
  <si>
    <t>Fotnot: För 2023 och 2024 är genomsnittliga skatteprocenterna vägda med beskattningsbar inkomster för 2022 från 02.11.2023.</t>
  </si>
  <si>
    <t>Prognos 2024 - version november23</t>
  </si>
  <si>
    <t>Allt klart utom kompensationer (slutregleras när beskattningen är klar) och antal elever i särskilda områdena (justeras ht24).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</si>
</sst>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43" formatCode="_-* #,##0.00_-;\-* #,##0.00_-;_-* &quot;-&quot;??_-;_-@_-"/>
    <numFmt numFmtId="164" formatCode="_-* #,##0.00\ _€_-;\-* #,##0.00\ _€_-;_-* &quot;-&quot;??\ _€_-;_-@_-"/>
    <numFmt numFmtId="165" formatCode="_-* #,##0.00\ _k_r_-;\-* #,##0.00\ _k_r_-;_-* &quot;-&quot;??\ _k_r_-;_-@_-"/>
    <numFmt numFmtId="166" formatCode="#,##0.0"/>
    <numFmt numFmtId="167" formatCode="0.0000"/>
    <numFmt numFmtId="168" formatCode="0.0\ %"/>
    <numFmt numFmtId="169" formatCode="yyyy\-mm\-dd;@"/>
    <numFmt numFmtId="170" formatCode="_-* #,##0.0000\ _€_-;\-* #,##0.0000\ _€_-;_-* &quot;-&quot;????\ _€_-;_-@_-"/>
    <numFmt numFmtId="171" formatCode="#,##0.0000"/>
    <numFmt numFmtId="172" formatCode="0.000000"/>
    <numFmt numFmtId="173" formatCode="0.0000000"/>
    <numFmt numFmtId="174" formatCode="0.000\ %"/>
    <numFmt numFmtId="175" formatCode="0.00000\ %"/>
    <numFmt numFmtId="176" formatCode="#,##0.00000"/>
    <numFmt numFmtId="177" formatCode="#,##0.000"/>
    <numFmt numFmtId="178" formatCode="000"/>
    <numFmt numFmtId="179" formatCode="0.00000"/>
    <numFmt numFmtId="180" formatCode="#,##0.00000000"/>
    <numFmt numFmtId="181" formatCode="#,##0.0000000"/>
  </numFmts>
  <fonts count="151">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b/>
      <sz val="11"/>
      <color theme="3"/>
      <name val="Arial"/>
      <family val="2"/>
    </font>
    <font>
      <sz val="12"/>
      <color rgb="FF3F3F76"/>
      <name val="Arial"/>
      <family val="2"/>
    </font>
    <font>
      <b/>
      <sz val="12"/>
      <color rgb="FFFA7D00"/>
      <name val="Arial"/>
      <family val="2"/>
    </font>
    <font>
      <b/>
      <sz val="12"/>
      <color theme="1"/>
      <name val="Arial"/>
      <family val="2"/>
    </font>
    <font>
      <sz val="18"/>
      <color theme="1"/>
      <name val="Calibri"/>
      <family val="2"/>
      <scheme val="minor"/>
    </font>
    <font>
      <sz val="9"/>
      <name val="Calibri"/>
      <family val="2"/>
      <scheme val="minor"/>
    </font>
    <font>
      <sz val="18"/>
      <color rgb="FF006100"/>
      <name val="Calibri"/>
      <family val="2"/>
      <scheme val="minor"/>
    </font>
    <font>
      <sz val="10"/>
      <name val="Arial"/>
      <family val="2"/>
    </font>
    <font>
      <sz val="10"/>
      <name val="Times New Roman"/>
      <family val="1"/>
    </font>
    <font>
      <sz val="12"/>
      <name val="Arial"/>
      <family val="2"/>
    </font>
    <font>
      <sz val="12"/>
      <color theme="1"/>
      <name val="Calibri"/>
      <family val="2"/>
      <scheme val="minor"/>
    </font>
    <font>
      <sz val="11"/>
      <color rgb="FF000000"/>
      <name val="Calibri"/>
      <family val="2"/>
    </font>
    <font>
      <sz val="11"/>
      <color theme="1"/>
      <name val="Calibri"/>
      <family val="2"/>
      <scheme val="minor"/>
    </font>
    <font>
      <b/>
      <sz val="11"/>
      <color theme="1"/>
      <name val="Calibri"/>
      <family val="2"/>
      <scheme val="minor"/>
    </font>
    <font>
      <b/>
      <sz val="11"/>
      <color rgb="FF000000"/>
      <name val="Calibri"/>
      <family val="2"/>
    </font>
    <font>
      <b/>
      <sz val="11"/>
      <color theme="0"/>
      <name val="Calibri"/>
      <family val="2"/>
      <scheme val="minor"/>
    </font>
    <font>
      <sz val="11"/>
      <color rgb="FFFF0000"/>
      <name val="Calibri"/>
      <family val="2"/>
      <scheme val="minor"/>
    </font>
    <font>
      <i/>
      <sz val="11"/>
      <color rgb="FF7F7F7F"/>
      <name val="Calibri"/>
      <family val="2"/>
      <scheme val="minor"/>
    </font>
    <font>
      <b/>
      <sz val="11"/>
      <name val="Calibri"/>
      <family val="2"/>
      <scheme val="minor"/>
    </font>
    <font>
      <b/>
      <sz val="14"/>
      <color theme="1"/>
      <name val="Cambria"/>
      <family val="1"/>
      <scheme val="major"/>
    </font>
    <font>
      <b/>
      <sz val="12"/>
      <color theme="1"/>
      <name val="Cambria"/>
      <family val="1"/>
      <scheme val="major"/>
    </font>
    <font>
      <u/>
      <sz val="12"/>
      <color theme="10"/>
      <name val="Arial"/>
      <family val="2"/>
    </font>
    <font>
      <i/>
      <u/>
      <sz val="9"/>
      <color theme="10"/>
      <name val="Calibri"/>
      <family val="2"/>
      <scheme val="minor"/>
    </font>
    <font>
      <b/>
      <sz val="11"/>
      <color rgb="FFC00000"/>
      <name val="Calibri"/>
      <family val="2"/>
      <scheme val="minor"/>
    </font>
    <font>
      <i/>
      <sz val="9"/>
      <color theme="1"/>
      <name val="Calibri"/>
      <family val="2"/>
      <scheme val="minor"/>
    </font>
    <font>
      <sz val="9"/>
      <color rgb="FFC00000"/>
      <name val="Calibri"/>
      <family val="2"/>
      <scheme val="minor"/>
    </font>
    <font>
      <b/>
      <sz val="9"/>
      <name val="CG Times"/>
      <family val="1"/>
    </font>
    <font>
      <sz val="9"/>
      <name val="Arial"/>
      <family val="2"/>
    </font>
    <font>
      <sz val="9"/>
      <name val="CG Times"/>
      <family val="1"/>
    </font>
    <font>
      <b/>
      <sz val="9"/>
      <name val="Arial"/>
      <family val="2"/>
    </font>
    <font>
      <i/>
      <sz val="9"/>
      <color rgb="FF7F7F7F"/>
      <name val="Calibri"/>
      <family val="2"/>
      <scheme val="minor"/>
    </font>
    <font>
      <sz val="14"/>
      <name val="Arial"/>
      <family val="2"/>
    </font>
    <font>
      <b/>
      <sz val="8"/>
      <name val="Arial"/>
      <family val="2"/>
    </font>
    <font>
      <b/>
      <i/>
      <sz val="8"/>
      <name val="Arial"/>
      <family val="2"/>
    </font>
    <font>
      <b/>
      <sz val="10"/>
      <name val="Arial"/>
      <family val="2"/>
    </font>
    <font>
      <i/>
      <sz val="8"/>
      <name val="Arial"/>
      <family val="2"/>
    </font>
    <font>
      <b/>
      <i/>
      <sz val="8"/>
      <name val="CG Times"/>
      <family val="1"/>
    </font>
    <font>
      <b/>
      <sz val="12"/>
      <color rgb="FFC00000"/>
      <name val="Arial"/>
      <family val="2"/>
    </font>
    <font>
      <b/>
      <i/>
      <sz val="11"/>
      <color theme="1"/>
      <name val="Calibri"/>
      <family val="2"/>
      <scheme val="minor"/>
    </font>
    <font>
      <sz val="9"/>
      <color theme="1"/>
      <name val="Calibri"/>
      <family val="2"/>
      <scheme val="minor"/>
    </font>
    <font>
      <i/>
      <sz val="11"/>
      <color theme="1"/>
      <name val="Calibri"/>
      <family val="2"/>
      <scheme val="minor"/>
    </font>
    <font>
      <b/>
      <sz val="11"/>
      <color theme="5" tint="-0.249977111117893"/>
      <name val="Calibri"/>
      <family val="2"/>
      <scheme val="minor"/>
    </font>
    <font>
      <b/>
      <sz val="9"/>
      <color rgb="FF000000"/>
      <name val="Calibri"/>
      <family val="2"/>
    </font>
    <font>
      <b/>
      <sz val="9"/>
      <color theme="1"/>
      <name val="Calibri"/>
      <family val="2"/>
      <scheme val="minor"/>
    </font>
    <font>
      <b/>
      <sz val="9"/>
      <name val="Calibri"/>
      <family val="2"/>
      <scheme val="minor"/>
    </font>
    <font>
      <b/>
      <sz val="9"/>
      <color theme="0"/>
      <name val="Calibri"/>
      <family val="2"/>
      <scheme val="minor"/>
    </font>
    <font>
      <b/>
      <u/>
      <sz val="9"/>
      <color theme="0"/>
      <name val="Calibri"/>
      <family val="2"/>
      <scheme val="minor"/>
    </font>
    <font>
      <b/>
      <u/>
      <sz val="9"/>
      <color theme="1"/>
      <name val="Calibri"/>
      <family val="2"/>
      <scheme val="minor"/>
    </font>
    <font>
      <b/>
      <sz val="9"/>
      <color rgb="FFC00000"/>
      <name val="Calibri"/>
      <family val="2"/>
      <scheme val="minor"/>
    </font>
    <font>
      <b/>
      <sz val="9"/>
      <color rgb="FF000000"/>
      <name val="Calibri"/>
      <family val="2"/>
      <scheme val="minor"/>
    </font>
    <font>
      <b/>
      <sz val="9"/>
      <color theme="1"/>
      <name val="Calibri"/>
      <family val="2"/>
    </font>
    <font>
      <sz val="9"/>
      <color theme="1"/>
      <name val="Arial"/>
      <family val="2"/>
    </font>
    <font>
      <sz val="9"/>
      <color rgb="FFFF0000"/>
      <name val="Arial"/>
      <family val="2"/>
    </font>
    <font>
      <b/>
      <sz val="9"/>
      <color theme="3" tint="-0.249977111117893"/>
      <name val="Calibri"/>
      <family val="2"/>
      <scheme val="minor"/>
    </font>
    <font>
      <sz val="9"/>
      <color theme="3" tint="-0.249977111117893"/>
      <name val="Calibri"/>
      <family val="2"/>
      <scheme val="minor"/>
    </font>
    <font>
      <sz val="9"/>
      <color indexed="81"/>
      <name val="Tahoma"/>
      <family val="2"/>
    </font>
    <font>
      <b/>
      <sz val="9"/>
      <color indexed="81"/>
      <name val="Tahoma"/>
      <family val="2"/>
    </font>
    <font>
      <b/>
      <sz val="9"/>
      <color theme="3" tint="0.39997558519241921"/>
      <name val="Calibri"/>
      <family val="2"/>
      <scheme val="minor"/>
    </font>
    <font>
      <sz val="9"/>
      <color theme="3" tint="0.39997558519241921"/>
      <name val="Calibri"/>
      <family val="2"/>
      <scheme val="minor"/>
    </font>
    <font>
      <sz val="10"/>
      <color theme="1"/>
      <name val="Calibri"/>
      <family val="2"/>
      <scheme val="minor"/>
    </font>
    <font>
      <i/>
      <sz val="11"/>
      <name val="Calibri"/>
      <family val="2"/>
      <scheme val="minor"/>
    </font>
    <font>
      <i/>
      <u/>
      <sz val="9"/>
      <color theme="0" tint="-0.249977111117893"/>
      <name val="Calibri"/>
      <family val="2"/>
      <scheme val="minor"/>
    </font>
    <font>
      <i/>
      <sz val="12"/>
      <color rgb="FFC00000"/>
      <name val="Arial"/>
      <family val="2"/>
    </font>
    <font>
      <b/>
      <sz val="9"/>
      <color theme="9" tint="0.39997558519241921"/>
      <name val="Calibri"/>
      <family val="2"/>
      <scheme val="minor"/>
    </font>
    <font>
      <sz val="9"/>
      <color theme="9" tint="0.39997558519241921"/>
      <name val="Calibri"/>
      <family val="2"/>
      <scheme val="minor"/>
    </font>
    <font>
      <sz val="11"/>
      <name val="Calibri"/>
      <family val="2"/>
      <scheme val="minor"/>
    </font>
    <font>
      <u/>
      <sz val="10"/>
      <color theme="10"/>
      <name val="Calibri"/>
      <family val="2"/>
      <scheme val="minor"/>
    </font>
    <font>
      <sz val="9"/>
      <color rgb="FFFF0000"/>
      <name val="Calibri"/>
      <family val="2"/>
      <scheme val="minor"/>
    </font>
    <font>
      <sz val="10"/>
      <name val="CG Times (W1)"/>
    </font>
    <font>
      <sz val="12"/>
      <color rgb="FFFF0000"/>
      <name val="Arial"/>
      <family val="2"/>
    </font>
    <font>
      <b/>
      <u/>
      <sz val="9"/>
      <name val="Calibri"/>
      <family val="2"/>
      <scheme val="minor"/>
    </font>
    <font>
      <u/>
      <sz val="11"/>
      <color theme="1"/>
      <name val="Calibri"/>
      <family val="2"/>
      <scheme val="minor"/>
    </font>
    <font>
      <i/>
      <sz val="12"/>
      <color theme="1"/>
      <name val="Arial"/>
      <family val="2"/>
    </font>
    <font>
      <i/>
      <sz val="11"/>
      <color theme="1"/>
      <name val="Arial"/>
      <family val="2"/>
    </font>
    <font>
      <sz val="10"/>
      <color rgb="FFFF0000"/>
      <name val="Arial"/>
      <family val="2"/>
    </font>
    <font>
      <i/>
      <sz val="10"/>
      <color theme="1"/>
      <name val="Arial"/>
      <family val="2"/>
    </font>
    <font>
      <sz val="12"/>
      <color rgb="FF000000"/>
      <name val="Arial"/>
      <family val="2"/>
    </font>
    <font>
      <b/>
      <sz val="12"/>
      <color rgb="FFC00000"/>
      <name val="Calibri"/>
      <family val="2"/>
      <scheme val="minor"/>
    </font>
    <font>
      <u/>
      <sz val="11"/>
      <color theme="10"/>
      <name val="Calibri"/>
      <family val="2"/>
      <scheme val="minor"/>
    </font>
    <font>
      <sz val="11"/>
      <name val="Arial"/>
      <family val="2"/>
    </font>
    <font>
      <b/>
      <sz val="11"/>
      <name val="Arial"/>
      <family val="2"/>
    </font>
    <font>
      <b/>
      <sz val="11"/>
      <color theme="1"/>
      <name val="Arial"/>
      <family val="2"/>
    </font>
    <font>
      <sz val="8"/>
      <color rgb="FFFF0000"/>
      <name val="Arial"/>
      <family val="2"/>
    </font>
    <font>
      <u/>
      <sz val="12"/>
      <color theme="1"/>
      <name val="Arial"/>
      <family val="2"/>
    </font>
    <font>
      <b/>
      <u/>
      <sz val="12"/>
      <color theme="1"/>
      <name val="Arial"/>
      <family val="2"/>
    </font>
    <font>
      <u/>
      <sz val="9"/>
      <color theme="1"/>
      <name val="Arial"/>
      <family val="2"/>
    </font>
    <font>
      <sz val="8"/>
      <name val="Arial"/>
      <family val="2"/>
    </font>
    <font>
      <b/>
      <i/>
      <sz val="10"/>
      <color theme="1"/>
      <name val="Calibri"/>
      <family val="2"/>
      <scheme val="minor"/>
    </font>
    <font>
      <i/>
      <sz val="11"/>
      <color theme="5"/>
      <name val="Calibri"/>
      <family val="2"/>
      <scheme val="minor"/>
    </font>
    <font>
      <sz val="12"/>
      <color theme="5"/>
      <name val="Arial"/>
      <family val="2"/>
    </font>
    <font>
      <i/>
      <sz val="10"/>
      <name val="Arial"/>
      <family val="2"/>
    </font>
    <font>
      <i/>
      <sz val="12"/>
      <color rgb="FFFF0000"/>
      <name val="Arial"/>
      <family val="2"/>
    </font>
    <font>
      <i/>
      <sz val="11"/>
      <color rgb="FFFF0000"/>
      <name val="Calibri"/>
      <family val="2"/>
      <scheme val="minor"/>
    </font>
    <font>
      <u/>
      <sz val="9"/>
      <color theme="1"/>
      <name val="Calibri"/>
      <family val="2"/>
      <scheme val="minor"/>
    </font>
    <font>
      <b/>
      <sz val="18"/>
      <color theme="1"/>
      <name val="Arial"/>
      <family val="2"/>
    </font>
    <font>
      <b/>
      <sz val="10"/>
      <color theme="1"/>
      <name val="Calibri"/>
      <family val="2"/>
      <scheme val="minor"/>
    </font>
    <font>
      <sz val="9"/>
      <name val="Arial Narrow"/>
      <family val="2"/>
    </font>
    <font>
      <sz val="9"/>
      <color indexed="8"/>
      <name val="Arial Narrow"/>
      <family val="2"/>
    </font>
    <font>
      <b/>
      <sz val="12"/>
      <name val="Calibri"/>
      <family val="2"/>
      <scheme val="minor"/>
    </font>
    <font>
      <sz val="8"/>
      <color theme="1"/>
      <name val="Calibri"/>
      <family val="2"/>
      <scheme val="minor"/>
    </font>
    <font>
      <sz val="8"/>
      <name val="Calibri"/>
      <family val="2"/>
      <scheme val="minor"/>
    </font>
    <font>
      <sz val="9"/>
      <color rgb="FF000000"/>
      <name val="Calibri"/>
      <family val="2"/>
    </font>
    <font>
      <sz val="18"/>
      <color theme="3"/>
      <name val="Cambria"/>
      <family val="2"/>
      <scheme val="major"/>
    </font>
    <font>
      <b/>
      <sz val="11"/>
      <color theme="3"/>
      <name val="Calibri"/>
      <family val="2"/>
      <scheme val="minor"/>
    </font>
    <font>
      <b/>
      <sz val="18"/>
      <color theme="3"/>
      <name val="Cambria"/>
      <family val="2"/>
      <scheme val="major"/>
    </font>
    <font>
      <sz val="7"/>
      <color rgb="FF222222"/>
      <name val="Inherit"/>
    </font>
    <font>
      <b/>
      <sz val="7"/>
      <color rgb="FF222222"/>
      <name val="Inherit"/>
    </font>
    <font>
      <sz val="12.1"/>
      <color rgb="FF000000"/>
      <name val="Inherit"/>
    </font>
    <font>
      <sz val="12.1"/>
      <color rgb="FFFF0000"/>
      <name val="Inherit"/>
    </font>
    <font>
      <i/>
      <sz val="10"/>
      <color rgb="FFFF0000"/>
      <name val="Arial"/>
      <family val="2"/>
    </font>
    <font>
      <b/>
      <u/>
      <sz val="11"/>
      <color theme="1"/>
      <name val="Calibri"/>
      <family val="2"/>
      <scheme val="minor"/>
    </font>
    <font>
      <i/>
      <sz val="8"/>
      <color theme="1"/>
      <name val="Calibri"/>
      <family val="2"/>
      <scheme val="minor"/>
    </font>
    <font>
      <sz val="9"/>
      <name val="Calibri"/>
      <family val="2"/>
    </font>
    <font>
      <b/>
      <sz val="10"/>
      <color rgb="FF000000"/>
      <name val="Calibri"/>
      <family val="2"/>
    </font>
    <font>
      <b/>
      <sz val="9"/>
      <name val="Calibri"/>
      <family val="2"/>
    </font>
    <font>
      <sz val="8"/>
      <name val="Calibri"/>
      <family val="2"/>
    </font>
    <font>
      <sz val="10"/>
      <color theme="1"/>
      <name val="Arial"/>
      <family val="2"/>
    </font>
    <font>
      <b/>
      <i/>
      <sz val="14"/>
      <color theme="1"/>
      <name val="Calibri"/>
      <family val="2"/>
      <scheme val="minor"/>
    </font>
    <font>
      <sz val="12"/>
      <color rgb="FF222222"/>
      <name val="Inherit"/>
    </font>
    <font>
      <b/>
      <sz val="12"/>
      <color theme="3"/>
      <name val="Calibri"/>
      <family val="2"/>
      <scheme val="minor"/>
    </font>
    <font>
      <b/>
      <i/>
      <sz val="10"/>
      <color rgb="FF222222"/>
      <name val="Inherit"/>
    </font>
    <font>
      <sz val="10"/>
      <color rgb="FF222222"/>
      <name val="Inherit"/>
    </font>
    <font>
      <i/>
      <sz val="14"/>
      <color theme="1"/>
      <name val="Calibri"/>
      <family val="2"/>
      <scheme val="minor"/>
    </font>
    <font>
      <i/>
      <sz val="12"/>
      <color rgb="FF000000"/>
      <name val="Calibri"/>
      <family val="2"/>
    </font>
    <font>
      <sz val="14"/>
      <color theme="1"/>
      <name val="Calibri"/>
      <family val="2"/>
      <scheme val="minor"/>
    </font>
    <font>
      <b/>
      <sz val="10"/>
      <color rgb="FF222222"/>
      <name val="Inherit"/>
    </font>
    <font>
      <sz val="14"/>
      <color rgb="FF000000"/>
      <name val="Calibri"/>
      <family val="2"/>
    </font>
    <font>
      <b/>
      <sz val="16"/>
      <color theme="3"/>
      <name val="Calibri"/>
      <family val="2"/>
      <scheme val="minor"/>
    </font>
    <font>
      <sz val="11"/>
      <color rgb="FF006100"/>
      <name val="Calibri"/>
      <family val="2"/>
      <scheme val="minor"/>
    </font>
    <font>
      <sz val="11"/>
      <color rgb="FFFA7D00"/>
      <name val="Calibri"/>
      <family val="2"/>
      <scheme val="minor"/>
    </font>
    <font>
      <b/>
      <sz val="16"/>
      <color theme="1"/>
      <name val="Calibri"/>
      <family val="2"/>
      <scheme val="minor"/>
    </font>
    <font>
      <b/>
      <u/>
      <sz val="16"/>
      <color theme="1"/>
      <name val="Arial"/>
      <family val="2"/>
    </font>
    <font>
      <b/>
      <sz val="16"/>
      <color theme="1"/>
      <name val="Arial"/>
      <family val="2"/>
    </font>
    <font>
      <b/>
      <i/>
      <sz val="16"/>
      <color theme="1"/>
      <name val="Calibri"/>
      <family val="2"/>
      <scheme val="minor"/>
    </font>
    <font>
      <i/>
      <sz val="10"/>
      <color theme="1"/>
      <name val="Calibri"/>
      <family val="2"/>
      <scheme val="minor"/>
    </font>
    <font>
      <u/>
      <sz val="12"/>
      <color rgb="FFFF0000"/>
      <name val="Arial"/>
      <family val="2"/>
    </font>
    <font>
      <b/>
      <i/>
      <u/>
      <sz val="11"/>
      <color theme="1"/>
      <name val="Calibri"/>
      <family val="2"/>
      <scheme val="minor"/>
    </font>
    <font>
      <i/>
      <sz val="11"/>
      <color theme="0"/>
      <name val="Arial"/>
      <family val="2"/>
    </font>
    <font>
      <b/>
      <u/>
      <sz val="14"/>
      <color rgb="FF000000"/>
      <name val="Calibri"/>
      <family val="2"/>
    </font>
    <font>
      <sz val="8"/>
      <color rgb="FF444444"/>
      <name val="Arial"/>
      <family val="2"/>
    </font>
  </fonts>
  <fills count="41">
    <fill>
      <patternFill patternType="none"/>
    </fill>
    <fill>
      <patternFill patternType="gray125"/>
    </fill>
    <fill>
      <patternFill patternType="solid">
        <fgColor rgb="FFC6EFCE"/>
      </patternFill>
    </fill>
    <fill>
      <patternFill patternType="solid">
        <fgColor rgb="FFFFCC99"/>
      </patternFill>
    </fill>
    <fill>
      <patternFill patternType="solid">
        <fgColor rgb="FFF2F2F2"/>
      </patternFill>
    </fill>
    <fill>
      <patternFill patternType="solid">
        <fgColor rgb="FFFFFFCC"/>
      </patternFill>
    </fill>
    <fill>
      <patternFill patternType="solid">
        <fgColor theme="0"/>
        <bgColor indexed="64"/>
      </patternFill>
    </fill>
    <fill>
      <patternFill patternType="solid">
        <fgColor theme="4" tint="0.79998168889431442"/>
        <bgColor indexed="64"/>
      </patternFill>
    </fill>
    <fill>
      <patternFill patternType="solid">
        <fgColor rgb="FFA5A5A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rgb="FFFFFF00"/>
        <bgColor rgb="FF000000"/>
      </patternFill>
    </fill>
    <fill>
      <patternFill patternType="solid">
        <fgColor rgb="FFFFFF99"/>
        <bgColor rgb="FF000000"/>
      </patternFill>
    </fill>
    <fill>
      <patternFill patternType="solid">
        <fgColor theme="8" tint="0.39997558519241921"/>
        <bgColor indexed="64"/>
      </patternFill>
    </fill>
    <fill>
      <patternFill patternType="solid">
        <fgColor theme="8" tint="-0.499984740745262"/>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rgb="FF9EC1C6"/>
        <bgColor indexed="64"/>
      </patternFill>
    </fill>
    <fill>
      <patternFill patternType="solid">
        <fgColor rgb="FFD3E3E5"/>
        <bgColor indexed="64"/>
      </patternFill>
    </fill>
    <fill>
      <patternFill patternType="solid">
        <fgColor rgb="FFEBF1DE"/>
        <bgColor rgb="FF000000"/>
      </patternFill>
    </fill>
    <fill>
      <patternFill patternType="solid">
        <fgColor theme="8" tint="-0.249977111117893"/>
        <bgColor indexed="64"/>
      </patternFill>
    </fill>
    <fill>
      <patternFill patternType="solid">
        <fgColor rgb="FFFFFF00"/>
        <bgColor indexed="64"/>
      </patternFill>
    </fill>
    <fill>
      <patternFill patternType="solid">
        <fgColor rgb="FF00B050"/>
        <bgColor indexed="64"/>
      </patternFill>
    </fill>
    <fill>
      <patternFill patternType="solid">
        <fgColor theme="5"/>
        <bgColor indexed="64"/>
      </patternFill>
    </fill>
    <fill>
      <patternFill patternType="solid">
        <fgColor rgb="FFFF0000"/>
        <bgColor indexed="64"/>
      </patternFill>
    </fill>
    <fill>
      <patternFill patternType="solid">
        <fgColor theme="2" tint="-0.499984740745262"/>
        <bgColor indexed="64"/>
      </patternFill>
    </fill>
    <fill>
      <patternFill patternType="solid">
        <fgColor rgb="FF92D05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FFCC"/>
        <bgColor indexed="64"/>
      </patternFill>
    </fill>
    <fill>
      <patternFill patternType="solid">
        <fgColor rgb="FFE1E1E1"/>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rgb="FFD9E1F2"/>
        <bgColor rgb="FF000000"/>
      </patternFill>
    </fill>
    <fill>
      <patternFill patternType="solid">
        <fgColor rgb="FFFFFFFF"/>
        <bgColor rgb="FF000000"/>
      </patternFill>
    </fill>
    <fill>
      <patternFill patternType="solid">
        <fgColor rgb="FFAEAAAA"/>
        <bgColor rgb="FF000000"/>
      </patternFill>
    </fill>
    <fill>
      <patternFill patternType="solid">
        <fgColor rgb="FFB4C6E7"/>
        <bgColor rgb="FF000000"/>
      </patternFill>
    </fill>
  </fills>
  <borders count="61">
    <border>
      <left/>
      <right/>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thin">
        <color auto="1"/>
      </top>
      <bottom/>
      <diagonal/>
    </border>
    <border>
      <left style="thin">
        <color indexed="64"/>
      </left>
      <right/>
      <top/>
      <bottom/>
      <diagonal/>
    </border>
    <border>
      <left style="thin">
        <color indexed="64"/>
      </left>
      <right/>
      <top/>
      <bottom style="thin">
        <color indexed="64"/>
      </bottom>
      <diagonal/>
    </border>
    <border>
      <left/>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style="thin">
        <color indexed="64"/>
      </top>
      <bottom style="double">
        <color theme="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bottom style="thin">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double">
        <color indexed="64"/>
      </left>
      <right style="double">
        <color indexed="64"/>
      </right>
      <top/>
      <bottom/>
      <diagonal/>
    </border>
    <border>
      <left style="double">
        <color indexed="64"/>
      </left>
      <right style="double">
        <color indexed="64"/>
      </right>
      <top/>
      <bottom style="thin">
        <color auto="1"/>
      </bottom>
      <diagonal/>
    </border>
    <border>
      <left/>
      <right/>
      <top/>
      <bottom style="medium">
        <color theme="9"/>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top style="medium">
        <color indexed="64"/>
      </top>
      <bottom style="thin">
        <color indexed="64"/>
      </bottom>
      <diagonal/>
    </border>
    <border>
      <left/>
      <right/>
      <top style="thin">
        <color auto="1"/>
      </top>
      <bottom style="medium">
        <color indexed="64"/>
      </bottom>
      <diagonal/>
    </border>
    <border>
      <left/>
      <right/>
      <top style="medium">
        <color indexed="64"/>
      </top>
      <bottom/>
      <diagonal/>
    </border>
    <border>
      <left style="medium">
        <color rgb="FFA9A9A9"/>
      </left>
      <right/>
      <top style="medium">
        <color rgb="FFA9A9A9"/>
      </top>
      <bottom style="medium">
        <color rgb="FFA9A9A9"/>
      </bottom>
      <diagonal/>
    </border>
    <border>
      <left style="double">
        <color theme="4"/>
      </left>
      <right style="double">
        <color theme="4"/>
      </right>
      <top/>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bottom style="thin">
        <color auto="1"/>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double">
        <color theme="4"/>
      </right>
      <top style="medium">
        <color rgb="FFA9A9A9"/>
      </top>
      <bottom style="thin">
        <color indexed="64"/>
      </bottom>
      <diagonal/>
    </border>
    <border>
      <left style="double">
        <color theme="4"/>
      </left>
      <right/>
      <top style="double">
        <color theme="4"/>
      </top>
      <bottom style="thin">
        <color indexed="64"/>
      </bottom>
      <diagonal/>
    </border>
    <border>
      <left style="double">
        <color theme="4"/>
      </left>
      <right style="double">
        <color theme="4"/>
      </right>
      <top style="double">
        <color theme="4"/>
      </top>
      <bottom style="thin">
        <color indexed="64"/>
      </bottom>
      <diagonal/>
    </border>
    <border>
      <left style="double">
        <color theme="4"/>
      </left>
      <right/>
      <top/>
      <bottom style="thin">
        <color indexed="64"/>
      </bottom>
      <diagonal/>
    </border>
    <border>
      <left style="double">
        <color theme="4"/>
      </left>
      <right style="double">
        <color theme="4"/>
      </right>
      <top/>
      <bottom style="thin">
        <color indexed="64"/>
      </bottom>
      <diagonal/>
    </border>
    <border>
      <left style="medium">
        <color rgb="FFA9A9A9"/>
      </left>
      <right/>
      <top style="medium">
        <color rgb="FFA9A9A9"/>
      </top>
      <bottom style="medium">
        <color indexed="64"/>
      </bottom>
      <diagonal/>
    </border>
    <border>
      <left style="double">
        <color theme="4"/>
      </left>
      <right style="double">
        <color theme="4"/>
      </right>
      <top/>
      <bottom style="medium">
        <color indexed="64"/>
      </bottom>
      <diagonal/>
    </border>
    <border>
      <left/>
      <right/>
      <top/>
      <bottom style="double">
        <color rgb="FFFF800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top/>
      <bottom style="thin">
        <color indexed="64"/>
      </bottom>
      <diagonal/>
    </border>
  </borders>
  <cellStyleXfs count="76">
    <xf numFmtId="0" fontId="0" fillId="0" borderId="0"/>
    <xf numFmtId="9" fontId="10" fillId="0" borderId="0" applyFont="0" applyFill="0" applyBorder="0" applyAlignment="0" applyProtection="0"/>
    <xf numFmtId="0" fontId="12" fillId="3" borderId="2" applyNumberFormat="0" applyAlignment="0" applyProtection="0"/>
    <xf numFmtId="0" fontId="13" fillId="4" borderId="2" applyNumberFormat="0" applyAlignment="0" applyProtection="0"/>
    <xf numFmtId="0" fontId="10" fillId="5" borderId="3" applyNumberFormat="0" applyFont="0" applyAlignment="0" applyProtection="0"/>
    <xf numFmtId="0" fontId="15" fillId="0" borderId="0"/>
    <xf numFmtId="0" fontId="17" fillId="2" borderId="0" applyNumberFormat="0" applyBorder="0" applyAlignment="0" applyProtection="0"/>
    <xf numFmtId="0" fontId="18" fillId="0" borderId="0"/>
    <xf numFmtId="0" fontId="19" fillId="0" borderId="0"/>
    <xf numFmtId="3" fontId="20" fillId="0" borderId="0"/>
    <xf numFmtId="3" fontId="20" fillId="0" borderId="0"/>
    <xf numFmtId="49" fontId="21" fillId="0" borderId="0"/>
    <xf numFmtId="166" fontId="22" fillId="0" borderId="0" applyBorder="0" applyAlignment="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5" fillId="0" borderId="0"/>
    <xf numFmtId="0" fontId="15" fillId="0" borderId="0"/>
    <xf numFmtId="0" fontId="10" fillId="0" borderId="0"/>
    <xf numFmtId="0" fontId="18" fillId="0" borderId="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0" fillId="0" borderId="0" applyFont="0" applyFill="0" applyBorder="0" applyAlignment="0" applyProtection="0"/>
    <xf numFmtId="9" fontId="15" fillId="0" borderId="0" applyFont="0" applyFill="0" applyBorder="0" applyAlignment="0" applyProtection="0"/>
    <xf numFmtId="0" fontId="11" fillId="0" borderId="1" applyNumberFormat="0" applyFill="0" applyAlignment="0" applyProtection="0"/>
    <xf numFmtId="165" fontId="18" fillId="0" borderId="0" applyFont="0" applyFill="0" applyBorder="0" applyAlignment="0" applyProtection="0"/>
    <xf numFmtId="165" fontId="18" fillId="0" borderId="0" applyFont="0" applyFill="0" applyBorder="0" applyAlignment="0" applyProtection="0"/>
    <xf numFmtId="164" fontId="10" fillId="0" borderId="0" applyFont="0" applyFill="0" applyBorder="0" applyAlignment="0" applyProtection="0"/>
    <xf numFmtId="0" fontId="26" fillId="8" borderId="14" applyNumberFormat="0" applyAlignment="0" applyProtection="0"/>
    <xf numFmtId="0" fontId="28" fillId="0" borderId="0" applyNumberFormat="0" applyFill="0" applyBorder="0" applyAlignment="0" applyProtection="0"/>
    <xf numFmtId="0" fontId="24" fillId="0" borderId="15" applyNumberFormat="0" applyFill="0" applyAlignment="0" applyProtection="0"/>
    <xf numFmtId="0" fontId="9" fillId="9" borderId="0" applyNumberFormat="0" applyBorder="0" applyAlignment="0" applyProtection="0"/>
    <xf numFmtId="0" fontId="9" fillId="10" borderId="0" applyNumberFormat="0" applyBorder="0" applyAlignment="0" applyProtection="0"/>
    <xf numFmtId="0" fontId="32" fillId="0" borderId="0" applyNumberFormat="0" applyFill="0" applyBorder="0" applyAlignment="0" applyProtection="0"/>
    <xf numFmtId="0" fontId="9" fillId="0" borderId="0"/>
    <xf numFmtId="0" fontId="18" fillId="0" borderId="0"/>
    <xf numFmtId="0" fontId="1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9" fillId="0" borderId="0"/>
    <xf numFmtId="0" fontId="5" fillId="0" borderId="0"/>
    <xf numFmtId="0" fontId="3" fillId="10"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18" fillId="0" borderId="0"/>
    <xf numFmtId="0" fontId="22" fillId="0" borderId="0" applyNumberFormat="0" applyBorder="0" applyAlignment="0"/>
    <xf numFmtId="9" fontId="18" fillId="0" borderId="0" applyFont="0" applyFill="0" applyBorder="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0" fontId="139" fillId="2" borderId="0" applyNumberFormat="0" applyBorder="0" applyAlignment="0" applyProtection="0"/>
    <xf numFmtId="0" fontId="140" fillId="0" borderId="53" applyNumberFormat="0" applyFill="0" applyAlignment="0" applyProtection="0"/>
  </cellStyleXfs>
  <cellXfs count="854">
    <xf numFmtId="0" fontId="0" fillId="0" borderId="0" xfId="0"/>
    <xf numFmtId="0" fontId="14" fillId="0" borderId="0" xfId="0" applyFont="1"/>
    <xf numFmtId="3" fontId="0" fillId="0" borderId="0" xfId="0" applyNumberFormat="1"/>
    <xf numFmtId="0" fontId="21" fillId="0" borderId="0" xfId="0" applyFont="1"/>
    <xf numFmtId="0" fontId="24" fillId="0" borderId="0" xfId="0" applyFont="1"/>
    <xf numFmtId="0" fontId="9" fillId="0" borderId="0" xfId="0" applyFont="1"/>
    <xf numFmtId="0" fontId="24" fillId="0" borderId="0" xfId="37" applyFont="1" applyFill="1"/>
    <xf numFmtId="0" fontId="24" fillId="0" borderId="10" xfId="0" applyFont="1" applyBorder="1"/>
    <xf numFmtId="0" fontId="24" fillId="0" borderId="4" xfId="0" applyFont="1" applyBorder="1"/>
    <xf numFmtId="0" fontId="24" fillId="0" borderId="7" xfId="37" applyFont="1" applyFill="1" applyBorder="1"/>
    <xf numFmtId="0" fontId="30" fillId="0" borderId="0" xfId="0" applyFont="1"/>
    <xf numFmtId="0" fontId="31" fillId="0" borderId="0" xfId="0" applyFont="1"/>
    <xf numFmtId="3" fontId="9" fillId="0" borderId="0" xfId="37" applyNumberFormat="1" applyFill="1"/>
    <xf numFmtId="3" fontId="24" fillId="0" borderId="0" xfId="37" applyNumberFormat="1" applyFont="1" applyFill="1"/>
    <xf numFmtId="3" fontId="24" fillId="0" borderId="0" xfId="0" applyNumberFormat="1" applyFont="1"/>
    <xf numFmtId="0" fontId="29" fillId="0" borderId="0" xfId="4" applyFont="1" applyFill="1" applyBorder="1"/>
    <xf numFmtId="0" fontId="27" fillId="0" borderId="0" xfId="0" applyFont="1"/>
    <xf numFmtId="0" fontId="25" fillId="0" borderId="0" xfId="0" applyFont="1"/>
    <xf numFmtId="0" fontId="8" fillId="0" borderId="0" xfId="0" applyFont="1"/>
    <xf numFmtId="0" fontId="33" fillId="0" borderId="0" xfId="38" applyFont="1" applyFill="1" applyBorder="1"/>
    <xf numFmtId="169" fontId="35" fillId="0" borderId="0" xfId="0" applyNumberFormat="1" applyFont="1"/>
    <xf numFmtId="0" fontId="36" fillId="0" borderId="0" xfId="0" applyFont="1"/>
    <xf numFmtId="0" fontId="16" fillId="0" borderId="0" xfId="0" applyFont="1" applyAlignment="1">
      <alignment horizontal="left"/>
    </xf>
    <xf numFmtId="3" fontId="16" fillId="0" borderId="0" xfId="0" applyNumberFormat="1" applyFont="1"/>
    <xf numFmtId="0" fontId="29" fillId="0" borderId="10" xfId="2" applyFont="1" applyFill="1" applyBorder="1"/>
    <xf numFmtId="49" fontId="24" fillId="0" borderId="10" xfId="0" applyNumberFormat="1" applyFont="1" applyBorder="1" applyAlignment="1">
      <alignment horizontal="center"/>
    </xf>
    <xf numFmtId="3" fontId="22" fillId="0" borderId="0" xfId="0" applyNumberFormat="1" applyFont="1"/>
    <xf numFmtId="3" fontId="25" fillId="0" borderId="0" xfId="0" applyNumberFormat="1" applyFont="1"/>
    <xf numFmtId="0" fontId="40" fillId="16" borderId="0" xfId="0" applyFont="1" applyFill="1" applyAlignment="1">
      <alignment horizontal="left" vertical="center"/>
    </xf>
    <xf numFmtId="3" fontId="40" fillId="16" borderId="0" xfId="0" applyNumberFormat="1" applyFont="1" applyFill="1" applyAlignment="1">
      <alignment horizontal="center" vertical="center"/>
    </xf>
    <xf numFmtId="3" fontId="40" fillId="16" borderId="13" xfId="0" applyNumberFormat="1" applyFont="1" applyFill="1" applyBorder="1" applyAlignment="1">
      <alignment horizontal="center" vertical="justify"/>
    </xf>
    <xf numFmtId="3" fontId="40" fillId="16" borderId="0" xfId="0" applyNumberFormat="1" applyFont="1" applyFill="1" applyAlignment="1">
      <alignment horizontal="center" vertical="justify"/>
    </xf>
    <xf numFmtId="3" fontId="40" fillId="16" borderId="8" xfId="0" applyNumberFormat="1" applyFont="1" applyFill="1" applyBorder="1" applyAlignment="1">
      <alignment horizontal="center" vertical="justify"/>
    </xf>
    <xf numFmtId="3" fontId="37" fillId="16" borderId="0" xfId="0" applyNumberFormat="1" applyFont="1" applyFill="1" applyAlignment="1">
      <alignment horizontal="center" vertical="justify"/>
    </xf>
    <xf numFmtId="3" fontId="37" fillId="16" borderId="5" xfId="0" applyNumberFormat="1" applyFont="1" applyFill="1" applyBorder="1" applyAlignment="1">
      <alignment horizontal="center" vertical="justify"/>
    </xf>
    <xf numFmtId="0" fontId="40" fillId="16" borderId="0" xfId="0" applyFont="1" applyFill="1" applyAlignment="1">
      <alignment horizontal="center" vertical="center"/>
    </xf>
    <xf numFmtId="3" fontId="37" fillId="16" borderId="6" xfId="0" applyNumberFormat="1" applyFont="1" applyFill="1" applyBorder="1" applyAlignment="1">
      <alignment horizontal="center" vertical="justify"/>
    </xf>
    <xf numFmtId="3" fontId="40" fillId="16" borderId="0" xfId="0" quotePrefix="1" applyNumberFormat="1" applyFont="1" applyFill="1" applyAlignment="1">
      <alignment horizontal="center" vertical="justify"/>
    </xf>
    <xf numFmtId="0" fontId="38" fillId="0" borderId="0" xfId="0" applyFont="1"/>
    <xf numFmtId="3" fontId="38" fillId="0" borderId="0" xfId="0" applyNumberFormat="1" applyFont="1"/>
    <xf numFmtId="3" fontId="38" fillId="0" borderId="13" xfId="0" applyNumberFormat="1" applyFont="1" applyBorder="1"/>
    <xf numFmtId="3" fontId="38" fillId="0" borderId="0" xfId="0" applyNumberFormat="1" applyFont="1" applyAlignment="1">
      <alignment horizontal="right"/>
    </xf>
    <xf numFmtId="3" fontId="38" fillId="0" borderId="13" xfId="0" applyNumberFormat="1" applyFont="1" applyBorder="1" applyAlignment="1">
      <alignment horizontal="right"/>
    </xf>
    <xf numFmtId="3" fontId="38" fillId="0" borderId="8" xfId="0" applyNumberFormat="1" applyFont="1" applyBorder="1"/>
    <xf numFmtId="3" fontId="39" fillId="0" borderId="0" xfId="0" applyNumberFormat="1" applyFont="1"/>
    <xf numFmtId="3" fontId="39" fillId="0" borderId="6" xfId="0" applyNumberFormat="1" applyFont="1" applyBorder="1"/>
    <xf numFmtId="0" fontId="40" fillId="0" borderId="10" xfId="0" applyFont="1" applyBorder="1" applyAlignment="1">
      <alignment vertical="center"/>
    </xf>
    <xf numFmtId="3" fontId="40" fillId="0" borderId="10" xfId="0" applyNumberFormat="1" applyFont="1" applyBorder="1" applyAlignment="1">
      <alignment vertical="center"/>
    </xf>
    <xf numFmtId="3" fontId="40" fillId="0" borderId="18" xfId="0" applyNumberFormat="1" applyFont="1" applyBorder="1" applyAlignment="1">
      <alignment vertical="center"/>
    </xf>
    <xf numFmtId="3" fontId="40" fillId="0" borderId="9" xfId="0" applyNumberFormat="1" applyFont="1" applyBorder="1" applyAlignment="1">
      <alignment vertical="center"/>
    </xf>
    <xf numFmtId="3" fontId="37" fillId="0" borderId="0" xfId="0" applyNumberFormat="1" applyFont="1" applyAlignment="1">
      <alignment vertical="center"/>
    </xf>
    <xf numFmtId="3" fontId="37" fillId="0" borderId="6" xfId="0" applyNumberFormat="1" applyFont="1" applyBorder="1" applyAlignment="1">
      <alignment vertical="center"/>
    </xf>
    <xf numFmtId="0" fontId="29" fillId="0" borderId="4" xfId="0" applyFont="1" applyBorder="1"/>
    <xf numFmtId="0" fontId="41" fillId="0" borderId="0" xfId="34" applyFont="1"/>
    <xf numFmtId="0" fontId="24" fillId="0" borderId="0" xfId="0" applyFont="1" applyAlignment="1">
      <alignment wrapText="1"/>
    </xf>
    <xf numFmtId="0" fontId="0" fillId="0" borderId="0" xfId="0" applyAlignment="1">
      <alignment wrapText="1"/>
    </xf>
    <xf numFmtId="3" fontId="16" fillId="0" borderId="0" xfId="0" applyNumberFormat="1" applyFont="1" applyAlignment="1">
      <alignment wrapText="1"/>
    </xf>
    <xf numFmtId="0" fontId="14" fillId="0" borderId="0" xfId="0" applyFont="1" applyAlignment="1">
      <alignment wrapText="1"/>
    </xf>
    <xf numFmtId="0" fontId="42" fillId="15" borderId="11" xfId="0" applyFont="1" applyFill="1" applyBorder="1" applyAlignment="1">
      <alignment horizontal="centerContinuous" vertical="center"/>
    </xf>
    <xf numFmtId="3" fontId="38" fillId="15" borderId="4" xfId="0" applyNumberFormat="1" applyFont="1" applyFill="1" applyBorder="1" applyAlignment="1">
      <alignment horizontal="centerContinuous" vertical="center"/>
    </xf>
    <xf numFmtId="3" fontId="38" fillId="15" borderId="4" xfId="0" applyNumberFormat="1" applyFont="1" applyFill="1" applyBorder="1" applyAlignment="1">
      <alignment horizontal="centerContinuous"/>
    </xf>
    <xf numFmtId="3" fontId="38" fillId="15" borderId="12" xfId="0" applyNumberFormat="1" applyFont="1" applyFill="1" applyBorder="1" applyAlignment="1">
      <alignment horizontal="centerContinuous" vertical="center"/>
    </xf>
    <xf numFmtId="3" fontId="39" fillId="15" borderId="0" xfId="0" applyNumberFormat="1" applyFont="1" applyFill="1" applyAlignment="1">
      <alignment horizontal="centerContinuous" vertical="center"/>
    </xf>
    <xf numFmtId="0" fontId="18" fillId="16" borderId="0" xfId="0" applyFont="1" applyFill="1"/>
    <xf numFmtId="3" fontId="43" fillId="16" borderId="0" xfId="0" applyNumberFormat="1" applyFont="1" applyFill="1" applyAlignment="1">
      <alignment horizontal="center" vertical="center"/>
    </xf>
    <xf numFmtId="0" fontId="44" fillId="16" borderId="0" xfId="0" applyFont="1" applyFill="1" applyAlignment="1">
      <alignment horizontal="center" vertical="center"/>
    </xf>
    <xf numFmtId="3" fontId="44" fillId="16" borderId="0" xfId="0" applyNumberFormat="1" applyFont="1" applyFill="1" applyAlignment="1">
      <alignment horizontal="center" vertical="center"/>
    </xf>
    <xf numFmtId="3" fontId="44" fillId="16" borderId="0" xfId="0" applyNumberFormat="1" applyFont="1" applyFill="1" applyAlignment="1">
      <alignment horizontal="center"/>
    </xf>
    <xf numFmtId="3" fontId="44" fillId="16" borderId="0" xfId="0" applyNumberFormat="1" applyFont="1" applyFill="1" applyAlignment="1">
      <alignment horizontal="center" vertical="justify"/>
    </xf>
    <xf numFmtId="0" fontId="43" fillId="16" borderId="0" xfId="0" applyFont="1" applyFill="1" applyAlignment="1">
      <alignment horizontal="center" vertical="justify"/>
    </xf>
    <xf numFmtId="0" fontId="45" fillId="16" borderId="0" xfId="0" applyFont="1" applyFill="1"/>
    <xf numFmtId="3" fontId="44" fillId="16" borderId="0" xfId="0" applyNumberFormat="1" applyFont="1" applyFill="1" applyAlignment="1">
      <alignment horizontal="right"/>
    </xf>
    <xf numFmtId="3" fontId="46" fillId="16" borderId="13" xfId="0" applyNumberFormat="1" applyFont="1" applyFill="1" applyBorder="1"/>
    <xf numFmtId="0" fontId="44" fillId="16" borderId="0" xfId="0" applyFont="1" applyFill="1" applyAlignment="1">
      <alignment horizontal="center"/>
    </xf>
    <xf numFmtId="3" fontId="43" fillId="16" borderId="0" xfId="0" applyNumberFormat="1" applyFont="1" applyFill="1" applyAlignment="1">
      <alignment horizontal="center"/>
    </xf>
    <xf numFmtId="3" fontId="44" fillId="16" borderId="13" xfId="0" applyNumberFormat="1" applyFont="1" applyFill="1" applyBorder="1" applyAlignment="1">
      <alignment horizontal="right"/>
    </xf>
    <xf numFmtId="3" fontId="44" fillId="16" borderId="13" xfId="0" applyNumberFormat="1" applyFont="1" applyFill="1" applyBorder="1" applyAlignment="1">
      <alignment horizontal="center"/>
    </xf>
    <xf numFmtId="0" fontId="47" fillId="16" borderId="0" xfId="0" applyFont="1" applyFill="1" applyAlignment="1">
      <alignment horizontal="center"/>
    </xf>
    <xf numFmtId="3" fontId="44" fillId="16" borderId="0" xfId="0" applyNumberFormat="1" applyFont="1" applyFill="1" applyAlignment="1">
      <alignment horizontal="left"/>
    </xf>
    <xf numFmtId="0" fontId="48" fillId="0" borderId="0" xfId="0" applyFont="1"/>
    <xf numFmtId="14" fontId="41" fillId="0" borderId="0" xfId="34" applyNumberFormat="1" applyFont="1"/>
    <xf numFmtId="0" fontId="33" fillId="0" borderId="0" xfId="38" applyFont="1" applyFill="1"/>
    <xf numFmtId="0" fontId="34" fillId="0" borderId="0" xfId="0" applyFont="1"/>
    <xf numFmtId="14" fontId="34" fillId="0" borderId="0" xfId="0" applyNumberFormat="1" applyFont="1"/>
    <xf numFmtId="0" fontId="49" fillId="0" borderId="0" xfId="37" applyFont="1" applyFill="1"/>
    <xf numFmtId="0" fontId="50" fillId="0" borderId="0" xfId="0" applyFont="1"/>
    <xf numFmtId="0" fontId="51" fillId="0" borderId="0" xfId="0" applyFont="1"/>
    <xf numFmtId="0" fontId="24" fillId="17" borderId="0" xfId="37" applyFont="1" applyFill="1" applyAlignment="1">
      <alignment wrapText="1"/>
    </xf>
    <xf numFmtId="3" fontId="24" fillId="17" borderId="0" xfId="0" applyNumberFormat="1" applyFont="1" applyFill="1"/>
    <xf numFmtId="49" fontId="24" fillId="17" borderId="0" xfId="37" applyNumberFormat="1" applyFont="1" applyFill="1" applyAlignment="1">
      <alignment wrapText="1"/>
    </xf>
    <xf numFmtId="3" fontId="24" fillId="12" borderId="0" xfId="0" applyNumberFormat="1" applyFont="1" applyFill="1"/>
    <xf numFmtId="0" fontId="52" fillId="0" borderId="0" xfId="0" applyFont="1"/>
    <xf numFmtId="0" fontId="24" fillId="17" borderId="10" xfId="37" applyFont="1" applyFill="1" applyBorder="1" applyAlignment="1">
      <alignment wrapText="1"/>
    </xf>
    <xf numFmtId="3" fontId="50" fillId="0" borderId="0" xfId="0" applyNumberFormat="1" applyFont="1"/>
    <xf numFmtId="3" fontId="50" fillId="0" borderId="10" xfId="0" applyNumberFormat="1" applyFont="1" applyBorder="1"/>
    <xf numFmtId="0" fontId="53" fillId="0" borderId="0" xfId="0" applyFont="1"/>
    <xf numFmtId="0" fontId="53" fillId="0" borderId="10" xfId="0" applyFont="1" applyBorder="1"/>
    <xf numFmtId="3" fontId="54" fillId="0" borderId="0" xfId="0" applyNumberFormat="1" applyFont="1"/>
    <xf numFmtId="3" fontId="53" fillId="0" borderId="0" xfId="0" applyNumberFormat="1" applyFont="1"/>
    <xf numFmtId="16" fontId="55" fillId="0" borderId="10" xfId="2" applyNumberFormat="1" applyFont="1" applyFill="1" applyBorder="1"/>
    <xf numFmtId="0" fontId="55" fillId="0" borderId="10" xfId="2" applyFont="1" applyFill="1" applyBorder="1"/>
    <xf numFmtId="3" fontId="56" fillId="8" borderId="14" xfId="33" applyNumberFormat="1" applyFont="1"/>
    <xf numFmtId="3" fontId="57" fillId="8" borderId="14" xfId="33" applyNumberFormat="1" applyFont="1"/>
    <xf numFmtId="0" fontId="54" fillId="0" borderId="10" xfId="0" applyFont="1" applyBorder="1"/>
    <xf numFmtId="0" fontId="54" fillId="0" borderId="0" xfId="0" applyFont="1"/>
    <xf numFmtId="0" fontId="50" fillId="0" borderId="10" xfId="0" applyFont="1" applyBorder="1"/>
    <xf numFmtId="0" fontId="55" fillId="0" borderId="4" xfId="2" applyFont="1" applyFill="1" applyBorder="1"/>
    <xf numFmtId="0" fontId="54" fillId="0" borderId="4" xfId="0" applyFont="1" applyBorder="1"/>
    <xf numFmtId="10" fontId="50" fillId="6" borderId="0" xfId="1" applyNumberFormat="1" applyFont="1" applyFill="1" applyBorder="1"/>
    <xf numFmtId="10" fontId="50" fillId="0" borderId="0" xfId="1" applyNumberFormat="1" applyFont="1" applyBorder="1"/>
    <xf numFmtId="0" fontId="54" fillId="6" borderId="7" xfId="0" applyFont="1" applyFill="1" applyBorder="1"/>
    <xf numFmtId="0" fontId="50" fillId="0" borderId="4" xfId="0" applyFont="1" applyBorder="1"/>
    <xf numFmtId="0" fontId="55" fillId="13" borderId="4" xfId="0" applyFont="1" applyFill="1" applyBorder="1"/>
    <xf numFmtId="3" fontId="50" fillId="13" borderId="0" xfId="0" applyNumberFormat="1" applyFont="1" applyFill="1"/>
    <xf numFmtId="3" fontId="50" fillId="13" borderId="10" xfId="0" applyNumberFormat="1" applyFont="1" applyFill="1" applyBorder="1"/>
    <xf numFmtId="0" fontId="54" fillId="0" borderId="4" xfId="0" applyFont="1" applyBorder="1" applyAlignment="1">
      <alignment wrapText="1"/>
    </xf>
    <xf numFmtId="0" fontId="54" fillId="17" borderId="4" xfId="0" applyFont="1" applyFill="1" applyBorder="1"/>
    <xf numFmtId="4" fontId="50" fillId="0" borderId="0" xfId="0" applyNumberFormat="1" applyFont="1"/>
    <xf numFmtId="4" fontId="50" fillId="17" borderId="0" xfId="0" applyNumberFormat="1" applyFont="1" applyFill="1"/>
    <xf numFmtId="4" fontId="50" fillId="0" borderId="10" xfId="0" applyNumberFormat="1" applyFont="1" applyBorder="1"/>
    <xf numFmtId="4" fontId="50" fillId="17" borderId="10" xfId="0" applyNumberFormat="1" applyFont="1" applyFill="1" applyBorder="1"/>
    <xf numFmtId="4" fontId="54" fillId="0" borderId="0" xfId="0" applyNumberFormat="1" applyFont="1"/>
    <xf numFmtId="4" fontId="54" fillId="17" borderId="0" xfId="0" applyNumberFormat="1" applyFont="1" applyFill="1"/>
    <xf numFmtId="0" fontId="59" fillId="14" borderId="0" xfId="0" applyFont="1" applyFill="1"/>
    <xf numFmtId="0" fontId="50" fillId="14" borderId="0" xfId="0" applyFont="1" applyFill="1"/>
    <xf numFmtId="0" fontId="54" fillId="14" borderId="0" xfId="0" applyFont="1" applyFill="1"/>
    <xf numFmtId="3" fontId="50" fillId="14" borderId="0" xfId="0" applyNumberFormat="1" applyFont="1" applyFill="1"/>
    <xf numFmtId="0" fontId="54" fillId="14" borderId="10" xfId="0" applyFont="1" applyFill="1" applyBorder="1"/>
    <xf numFmtId="0" fontId="50" fillId="14" borderId="10" xfId="0" applyFont="1" applyFill="1" applyBorder="1"/>
    <xf numFmtId="0" fontId="54" fillId="14" borderId="4" xfId="0" applyFont="1" applyFill="1" applyBorder="1" applyAlignment="1">
      <alignment wrapText="1"/>
    </xf>
    <xf numFmtId="0" fontId="54" fillId="14" borderId="4" xfId="0" applyFont="1" applyFill="1" applyBorder="1"/>
    <xf numFmtId="10" fontId="50" fillId="14" borderId="0" xfId="1" applyNumberFormat="1" applyFont="1" applyFill="1"/>
    <xf numFmtId="4" fontId="50" fillId="14" borderId="0" xfId="0" applyNumberFormat="1" applyFont="1" applyFill="1"/>
    <xf numFmtId="3" fontId="50" fillId="14" borderId="10" xfId="0" applyNumberFormat="1" applyFont="1" applyFill="1" applyBorder="1"/>
    <xf numFmtId="10" fontId="50" fillId="14" borderId="10" xfId="1" applyNumberFormat="1" applyFont="1" applyFill="1" applyBorder="1"/>
    <xf numFmtId="4" fontId="50" fillId="14" borderId="10" xfId="0" applyNumberFormat="1" applyFont="1" applyFill="1" applyBorder="1"/>
    <xf numFmtId="4" fontId="54" fillId="14" borderId="0" xfId="0" applyNumberFormat="1" applyFont="1" applyFill="1"/>
    <xf numFmtId="0" fontId="54" fillId="14" borderId="10" xfId="0" applyFont="1" applyFill="1" applyBorder="1" applyAlignment="1">
      <alignment wrapText="1"/>
    </xf>
    <xf numFmtId="0" fontId="55" fillId="0" borderId="10" xfId="4" applyFont="1" applyFill="1" applyBorder="1"/>
    <xf numFmtId="0" fontId="55" fillId="0" borderId="0" xfId="4" applyFont="1" applyFill="1" applyBorder="1"/>
    <xf numFmtId="0" fontId="16" fillId="0" borderId="0" xfId="3" applyFont="1" applyFill="1" applyBorder="1"/>
    <xf numFmtId="0" fontId="55" fillId="0" borderId="0" xfId="3" applyFont="1" applyFill="1" applyBorder="1"/>
    <xf numFmtId="4" fontId="16" fillId="0" borderId="0" xfId="3" applyNumberFormat="1" applyFont="1" applyFill="1" applyBorder="1"/>
    <xf numFmtId="0" fontId="55" fillId="0" borderId="10" xfId="3" applyFont="1" applyFill="1" applyBorder="1"/>
    <xf numFmtId="9" fontId="16" fillId="0" borderId="0" xfId="1" applyFont="1" applyFill="1" applyBorder="1"/>
    <xf numFmtId="0" fontId="50" fillId="12" borderId="0" xfId="0" applyFont="1" applyFill="1"/>
    <xf numFmtId="0" fontId="50" fillId="11" borderId="0" xfId="0" applyFont="1" applyFill="1"/>
    <xf numFmtId="15" fontId="54" fillId="0" borderId="4" xfId="0" applyNumberFormat="1" applyFont="1" applyBorder="1"/>
    <xf numFmtId="49" fontId="54" fillId="0" borderId="4" xfId="0" applyNumberFormat="1" applyFont="1" applyBorder="1" applyAlignment="1">
      <alignment horizontal="center"/>
    </xf>
    <xf numFmtId="0" fontId="54" fillId="0" borderId="0" xfId="37" applyFont="1" applyFill="1"/>
    <xf numFmtId="0" fontId="54" fillId="11" borderId="0" xfId="37" applyFont="1" applyFill="1"/>
    <xf numFmtId="3" fontId="50" fillId="11" borderId="0" xfId="37" applyNumberFormat="1" applyFont="1" applyFill="1"/>
    <xf numFmtId="3" fontId="50" fillId="0" borderId="0" xfId="37" applyNumberFormat="1" applyFont="1" applyFill="1"/>
    <xf numFmtId="0" fontId="54" fillId="12" borderId="0" xfId="37" applyFont="1" applyFill="1"/>
    <xf numFmtId="3" fontId="50" fillId="12" borderId="0" xfId="37" applyNumberFormat="1" applyFont="1" applyFill="1"/>
    <xf numFmtId="0" fontId="54" fillId="0" borderId="10" xfId="37" applyFont="1" applyFill="1" applyBorder="1"/>
    <xf numFmtId="3" fontId="50" fillId="0" borderId="10" xfId="37" applyNumberFormat="1" applyFont="1" applyFill="1" applyBorder="1"/>
    <xf numFmtId="3" fontId="54" fillId="0" borderId="0" xfId="37" applyNumberFormat="1" applyFont="1" applyFill="1"/>
    <xf numFmtId="0" fontId="50" fillId="0" borderId="7" xfId="0" applyFont="1" applyBorder="1"/>
    <xf numFmtId="3" fontId="54" fillId="6" borderId="7" xfId="0" applyNumberFormat="1" applyFont="1" applyFill="1" applyBorder="1"/>
    <xf numFmtId="0" fontId="50" fillId="6" borderId="7" xfId="0" applyFont="1" applyFill="1" applyBorder="1"/>
    <xf numFmtId="0" fontId="55" fillId="0" borderId="7" xfId="4" applyFont="1" applyFill="1" applyBorder="1"/>
    <xf numFmtId="0" fontId="55" fillId="0" borderId="7" xfId="4" applyFont="1" applyFill="1" applyBorder="1" applyAlignment="1">
      <alignment horizontal="left"/>
    </xf>
    <xf numFmtId="0" fontId="50" fillId="6" borderId="8" xfId="0" applyFont="1" applyFill="1" applyBorder="1"/>
    <xf numFmtId="0" fontId="54" fillId="6" borderId="0" xfId="0" applyFont="1" applyFill="1"/>
    <xf numFmtId="0" fontId="50" fillId="6" borderId="0" xfId="0" applyFont="1" applyFill="1"/>
    <xf numFmtId="3" fontId="50" fillId="6" borderId="0" xfId="0" applyNumberFormat="1" applyFont="1" applyFill="1"/>
    <xf numFmtId="0" fontId="54" fillId="11" borderId="8" xfId="0" applyFont="1" applyFill="1" applyBorder="1"/>
    <xf numFmtId="1" fontId="50" fillId="6" borderId="0" xfId="0" applyNumberFormat="1" applyFont="1" applyFill="1"/>
    <xf numFmtId="0" fontId="50" fillId="7" borderId="17" xfId="0" applyFont="1" applyFill="1" applyBorder="1"/>
    <xf numFmtId="3" fontId="54" fillId="7" borderId="7" xfId="0" applyNumberFormat="1" applyFont="1" applyFill="1" applyBorder="1"/>
    <xf numFmtId="0" fontId="54" fillId="7" borderId="7" xfId="0" applyFont="1" applyFill="1" applyBorder="1"/>
    <xf numFmtId="0" fontId="50" fillId="7" borderId="7" xfId="0" applyFont="1" applyFill="1" applyBorder="1"/>
    <xf numFmtId="3" fontId="50" fillId="7" borderId="7" xfId="0" applyNumberFormat="1" applyFont="1" applyFill="1" applyBorder="1"/>
    <xf numFmtId="3" fontId="54" fillId="6" borderId="0" xfId="0" applyNumberFormat="1" applyFont="1" applyFill="1"/>
    <xf numFmtId="0" fontId="54" fillId="7" borderId="0" xfId="0" applyFont="1" applyFill="1"/>
    <xf numFmtId="0" fontId="50" fillId="7" borderId="0" xfId="0" applyFont="1" applyFill="1"/>
    <xf numFmtId="0" fontId="16" fillId="0" borderId="0" xfId="4" applyFont="1" applyFill="1" applyBorder="1"/>
    <xf numFmtId="167" fontId="16" fillId="0" borderId="0" xfId="4" applyNumberFormat="1" applyFont="1" applyFill="1" applyBorder="1"/>
    <xf numFmtId="3" fontId="16" fillId="14" borderId="0" xfId="0" applyNumberFormat="1" applyFont="1" applyFill="1"/>
    <xf numFmtId="167" fontId="50" fillId="0" borderId="0" xfId="0" applyNumberFormat="1" applyFont="1"/>
    <xf numFmtId="0" fontId="55" fillId="0" borderId="0" xfId="2" applyFont="1" applyFill="1" applyBorder="1"/>
    <xf numFmtId="0" fontId="16" fillId="0" borderId="0" xfId="2" applyFont="1" applyFill="1" applyBorder="1"/>
    <xf numFmtId="4" fontId="16" fillId="0" borderId="0" xfId="0" applyNumberFormat="1" applyFont="1"/>
    <xf numFmtId="9" fontId="50" fillId="0" borderId="0" xfId="0" applyNumberFormat="1" applyFont="1"/>
    <xf numFmtId="168" fontId="50" fillId="0" borderId="0" xfId="1" applyNumberFormat="1" applyFont="1"/>
    <xf numFmtId="0" fontId="16" fillId="12" borderId="0" xfId="0" applyFont="1" applyFill="1"/>
    <xf numFmtId="168" fontId="16" fillId="12" borderId="0" xfId="1" applyNumberFormat="1" applyFont="1" applyFill="1"/>
    <xf numFmtId="0" fontId="16" fillId="11" borderId="0" xfId="0" applyFont="1" applyFill="1"/>
    <xf numFmtId="168" fontId="16" fillId="11" borderId="0" xfId="1" applyNumberFormat="1" applyFont="1" applyFill="1"/>
    <xf numFmtId="15" fontId="54" fillId="0" borderId="10" xfId="0" applyNumberFormat="1" applyFont="1" applyBorder="1"/>
    <xf numFmtId="0" fontId="54" fillId="0" borderId="10" xfId="0" applyFont="1" applyBorder="1" applyAlignment="1">
      <alignment horizontal="center"/>
    </xf>
    <xf numFmtId="0" fontId="55" fillId="11" borderId="0" xfId="0" applyFont="1" applyFill="1"/>
    <xf numFmtId="3" fontId="16" fillId="11" borderId="0" xfId="0" applyNumberFormat="1" applyFont="1" applyFill="1"/>
    <xf numFmtId="0" fontId="55" fillId="12" borderId="0" xfId="0" applyFont="1" applyFill="1"/>
    <xf numFmtId="3" fontId="16" fillId="12" borderId="0" xfId="0" applyNumberFormat="1" applyFont="1" applyFill="1"/>
    <xf numFmtId="0" fontId="55" fillId="0" borderId="0" xfId="0" applyFont="1"/>
    <xf numFmtId="0" fontId="54" fillId="0" borderId="7" xfId="0" applyFont="1" applyBorder="1"/>
    <xf numFmtId="3" fontId="50" fillId="0" borderId="7" xfId="32" applyNumberFormat="1" applyFont="1" applyBorder="1"/>
    <xf numFmtId="3" fontId="56" fillId="8" borderId="14" xfId="32" applyNumberFormat="1" applyFont="1" applyFill="1" applyBorder="1"/>
    <xf numFmtId="0" fontId="54" fillId="0" borderId="0" xfId="0" applyFont="1" applyAlignment="1">
      <alignment horizontal="right"/>
    </xf>
    <xf numFmtId="0" fontId="54" fillId="17" borderId="10" xfId="0" applyFont="1" applyFill="1" applyBorder="1"/>
    <xf numFmtId="0" fontId="54" fillId="9" borderId="0" xfId="36" applyFont="1"/>
    <xf numFmtId="3" fontId="50" fillId="9" borderId="0" xfId="36" applyNumberFormat="1" applyFont="1" applyBorder="1"/>
    <xf numFmtId="3" fontId="50" fillId="0" borderId="0" xfId="37" applyNumberFormat="1" applyFont="1" applyFill="1" applyBorder="1"/>
    <xf numFmtId="0" fontId="54" fillId="10" borderId="0" xfId="37" applyFont="1"/>
    <xf numFmtId="3" fontId="50" fillId="10" borderId="0" xfId="37" applyNumberFormat="1" applyFont="1" applyBorder="1"/>
    <xf numFmtId="3" fontId="54" fillId="10" borderId="0" xfId="37" applyNumberFormat="1" applyFont="1" applyBorder="1"/>
    <xf numFmtId="0" fontId="54" fillId="0" borderId="7" xfId="37" applyFont="1" applyFill="1" applyBorder="1"/>
    <xf numFmtId="3" fontId="50" fillId="0" borderId="7" xfId="0" applyNumberFormat="1" applyFont="1" applyBorder="1"/>
    <xf numFmtId="0" fontId="54" fillId="20" borderId="10" xfId="0" applyFont="1" applyFill="1" applyBorder="1"/>
    <xf numFmtId="3" fontId="50" fillId="0" borderId="0" xfId="36" applyNumberFormat="1" applyFont="1" applyFill="1" applyBorder="1"/>
    <xf numFmtId="3" fontId="50" fillId="12" borderId="0" xfId="36" applyNumberFormat="1" applyFont="1" applyFill="1" applyBorder="1"/>
    <xf numFmtId="3" fontId="54" fillId="20" borderId="16" xfId="35" applyNumberFormat="1" applyFont="1" applyFill="1" applyBorder="1"/>
    <xf numFmtId="0" fontId="62" fillId="0" borderId="0" xfId="0" applyFont="1"/>
    <xf numFmtId="0" fontId="62" fillId="0" borderId="10" xfId="0" applyFont="1" applyBorder="1"/>
    <xf numFmtId="4" fontId="50" fillId="0" borderId="0" xfId="37" applyNumberFormat="1" applyFont="1" applyFill="1"/>
    <xf numFmtId="168" fontId="50" fillId="0" borderId="0" xfId="1" applyNumberFormat="1" applyFont="1" applyFill="1"/>
    <xf numFmtId="49" fontId="54" fillId="0" borderId="10" xfId="0" applyNumberFormat="1" applyFont="1" applyBorder="1" applyAlignment="1">
      <alignment horizontal="center"/>
    </xf>
    <xf numFmtId="49" fontId="54" fillId="13" borderId="10" xfId="0" applyNumberFormat="1" applyFont="1" applyFill="1" applyBorder="1" applyAlignment="1">
      <alignment horizontal="center"/>
    </xf>
    <xf numFmtId="10" fontId="50" fillId="0" borderId="0" xfId="1" applyNumberFormat="1" applyFont="1" applyFill="1"/>
    <xf numFmtId="10" fontId="50" fillId="0" borderId="10" xfId="1" applyNumberFormat="1" applyFont="1" applyFill="1" applyBorder="1"/>
    <xf numFmtId="9" fontId="54" fillId="0" borderId="0" xfId="1" applyFont="1" applyFill="1"/>
    <xf numFmtId="3" fontId="54" fillId="13" borderId="0" xfId="0" applyNumberFormat="1" applyFont="1" applyFill="1"/>
    <xf numFmtId="0" fontId="54" fillId="0" borderId="0" xfId="37" applyFont="1" applyFill="1" applyBorder="1"/>
    <xf numFmtId="0" fontId="54" fillId="0" borderId="10" xfId="37" applyFont="1" applyFill="1" applyBorder="1" applyAlignment="1">
      <alignment wrapText="1"/>
    </xf>
    <xf numFmtId="0" fontId="54" fillId="17" borderId="10" xfId="37" applyFont="1" applyFill="1" applyBorder="1" applyAlignment="1">
      <alignment wrapText="1"/>
    </xf>
    <xf numFmtId="3" fontId="62" fillId="0" borderId="0" xfId="0" applyNumberFormat="1" applyFont="1"/>
    <xf numFmtId="49" fontId="55" fillId="0" borderId="0" xfId="4" applyNumberFormat="1" applyFont="1" applyFill="1" applyBorder="1"/>
    <xf numFmtId="3" fontId="55" fillId="0" borderId="0" xfId="4" applyNumberFormat="1" applyFont="1" applyFill="1" applyBorder="1"/>
    <xf numFmtId="167" fontId="62" fillId="0" borderId="0" xfId="0" applyNumberFormat="1" applyFont="1"/>
    <xf numFmtId="0" fontId="41" fillId="0" borderId="0" xfId="34" applyFont="1" applyFill="1" applyBorder="1"/>
    <xf numFmtId="0" fontId="55" fillId="0" borderId="7" xfId="0" applyFont="1" applyBorder="1"/>
    <xf numFmtId="3" fontId="16" fillId="0" borderId="0" xfId="2" applyNumberFormat="1" applyFont="1" applyFill="1" applyBorder="1" applyAlignment="1">
      <alignment horizontal="right"/>
    </xf>
    <xf numFmtId="3" fontId="54" fillId="0" borderId="7" xfId="32" applyNumberFormat="1" applyFont="1" applyBorder="1"/>
    <xf numFmtId="0" fontId="63" fillId="0" borderId="0" xfId="0" applyFont="1"/>
    <xf numFmtId="0" fontId="62" fillId="14" borderId="0" xfId="0" applyFont="1" applyFill="1" applyAlignment="1">
      <alignment wrapText="1"/>
    </xf>
    <xf numFmtId="167" fontId="16" fillId="0" borderId="0" xfId="3" applyNumberFormat="1" applyFont="1" applyFill="1" applyBorder="1"/>
    <xf numFmtId="0" fontId="62" fillId="14" borderId="0" xfId="0" applyFont="1" applyFill="1"/>
    <xf numFmtId="9" fontId="50" fillId="0" borderId="0" xfId="1" applyFont="1"/>
    <xf numFmtId="166" fontId="50" fillId="0" borderId="0" xfId="0" applyNumberFormat="1" applyFont="1"/>
    <xf numFmtId="3" fontId="50" fillId="17" borderId="0" xfId="0" applyNumberFormat="1" applyFont="1" applyFill="1"/>
    <xf numFmtId="166" fontId="50" fillId="0" borderId="10" xfId="0" applyNumberFormat="1" applyFont="1" applyBorder="1"/>
    <xf numFmtId="3" fontId="50" fillId="17" borderId="10" xfId="0" applyNumberFormat="1" applyFont="1" applyFill="1" applyBorder="1"/>
    <xf numFmtId="166" fontId="54" fillId="0" borderId="0" xfId="0" applyNumberFormat="1" applyFont="1"/>
    <xf numFmtId="3" fontId="54" fillId="17" borderId="0" xfId="0" applyNumberFormat="1" applyFont="1" applyFill="1"/>
    <xf numFmtId="0" fontId="59" fillId="0" borderId="0" xfId="0" applyFont="1"/>
    <xf numFmtId="3" fontId="55" fillId="0" borderId="0" xfId="0" applyNumberFormat="1" applyFont="1"/>
    <xf numFmtId="0" fontId="16" fillId="0" borderId="0" xfId="0" applyFont="1"/>
    <xf numFmtId="3" fontId="54" fillId="0" borderId="7" xfId="0" applyNumberFormat="1" applyFont="1" applyBorder="1"/>
    <xf numFmtId="0" fontId="54" fillId="17" borderId="10" xfId="0" applyFont="1" applyFill="1" applyBorder="1" applyAlignment="1">
      <alignment wrapText="1"/>
    </xf>
    <xf numFmtId="3" fontId="50" fillId="0" borderId="8" xfId="0" applyNumberFormat="1" applyFont="1" applyBorder="1"/>
    <xf numFmtId="10" fontId="24" fillId="0" borderId="19" xfId="1" applyNumberFormat="1" applyFont="1" applyBorder="1"/>
    <xf numFmtId="0" fontId="50" fillId="0" borderId="19" xfId="0" applyFont="1" applyBorder="1"/>
    <xf numFmtId="10" fontId="24" fillId="12" borderId="19" xfId="1" applyNumberFormat="1" applyFont="1" applyFill="1" applyBorder="1"/>
    <xf numFmtId="0" fontId="0" fillId="18" borderId="0" xfId="0" applyFill="1"/>
    <xf numFmtId="0" fontId="24" fillId="17" borderId="9" xfId="37" applyFont="1" applyFill="1" applyBorder="1" applyAlignment="1">
      <alignment wrapText="1"/>
    </xf>
    <xf numFmtId="0" fontId="24" fillId="17" borderId="20" xfId="37" applyFont="1" applyFill="1" applyBorder="1" applyAlignment="1">
      <alignment wrapText="1"/>
    </xf>
    <xf numFmtId="10" fontId="24" fillId="17" borderId="0" xfId="1" applyNumberFormat="1" applyFont="1" applyFill="1" applyBorder="1"/>
    <xf numFmtId="0" fontId="64" fillId="0" borderId="4" xfId="0" applyFont="1" applyBorder="1"/>
    <xf numFmtId="10" fontId="65" fillId="0" borderId="0" xfId="1" applyNumberFormat="1" applyFont="1"/>
    <xf numFmtId="0" fontId="16" fillId="0" borderId="21" xfId="4" applyFont="1" applyFill="1" applyBorder="1"/>
    <xf numFmtId="167" fontId="16" fillId="0" borderId="22" xfId="4" applyNumberFormat="1" applyFont="1" applyFill="1" applyBorder="1"/>
    <xf numFmtId="0" fontId="16" fillId="0" borderId="0" xfId="4" applyFont="1" applyFill="1" applyBorder="1" applyAlignment="1">
      <alignment horizontal="right"/>
    </xf>
    <xf numFmtId="0" fontId="68" fillId="0" borderId="10" xfId="0" applyFont="1" applyBorder="1"/>
    <xf numFmtId="0" fontId="68" fillId="0" borderId="10" xfId="0" applyFont="1" applyBorder="1" applyAlignment="1">
      <alignment horizontal="center"/>
    </xf>
    <xf numFmtId="3" fontId="69" fillId="11" borderId="0" xfId="0" applyNumberFormat="1" applyFont="1" applyFill="1"/>
    <xf numFmtId="3" fontId="69" fillId="0" borderId="0" xfId="0" applyNumberFormat="1" applyFont="1"/>
    <xf numFmtId="3" fontId="69" fillId="12" borderId="0" xfId="0" applyNumberFormat="1" applyFont="1" applyFill="1"/>
    <xf numFmtId="3" fontId="69" fillId="0" borderId="7" xfId="32" applyNumberFormat="1" applyFont="1" applyBorder="1"/>
    <xf numFmtId="0" fontId="70" fillId="0" borderId="0" xfId="0" applyFont="1"/>
    <xf numFmtId="3" fontId="71" fillId="0" borderId="10" xfId="0" applyNumberFormat="1" applyFont="1" applyBorder="1"/>
    <xf numFmtId="3" fontId="51" fillId="12" borderId="10" xfId="0" applyNumberFormat="1" applyFont="1" applyFill="1" applyBorder="1"/>
    <xf numFmtId="3" fontId="51" fillId="17" borderId="10" xfId="0" applyNumberFormat="1" applyFont="1" applyFill="1" applyBorder="1"/>
    <xf numFmtId="0" fontId="24" fillId="0" borderId="23" xfId="0" applyFont="1" applyBorder="1" applyAlignment="1">
      <alignment horizontal="center"/>
    </xf>
    <xf numFmtId="0" fontId="24" fillId="0" borderId="24" xfId="37" applyFont="1" applyFill="1" applyBorder="1" applyAlignment="1">
      <alignment wrapText="1"/>
    </xf>
    <xf numFmtId="10" fontId="24" fillId="0" borderId="23" xfId="1" applyNumberFormat="1" applyFont="1" applyFill="1" applyBorder="1"/>
    <xf numFmtId="0" fontId="50" fillId="0" borderId="23" xfId="0" applyFont="1" applyBorder="1"/>
    <xf numFmtId="0" fontId="54" fillId="22" borderId="0" xfId="0" applyFont="1" applyFill="1"/>
    <xf numFmtId="0" fontId="50" fillId="22" borderId="0" xfId="0" applyFont="1" applyFill="1"/>
    <xf numFmtId="4" fontId="16" fillId="22" borderId="0" xfId="3" applyNumberFormat="1" applyFont="1" applyFill="1" applyBorder="1"/>
    <xf numFmtId="4" fontId="55" fillId="21" borderId="0" xfId="4" applyNumberFormat="1" applyFont="1" applyFill="1" applyBorder="1"/>
    <xf numFmtId="0" fontId="54" fillId="21" borderId="0" xfId="0" applyFont="1" applyFill="1"/>
    <xf numFmtId="167" fontId="50" fillId="22" borderId="0" xfId="0" applyNumberFormat="1" applyFont="1" applyFill="1"/>
    <xf numFmtId="164" fontId="50" fillId="22" borderId="0" xfId="32" applyFont="1" applyFill="1"/>
    <xf numFmtId="9" fontId="50" fillId="22" borderId="0" xfId="1" applyFont="1" applyFill="1" applyBorder="1"/>
    <xf numFmtId="3" fontId="22" fillId="23" borderId="0" xfId="0" applyNumberFormat="1" applyFont="1" applyFill="1"/>
    <xf numFmtId="3" fontId="22" fillId="23" borderId="10" xfId="0" applyNumberFormat="1" applyFont="1" applyFill="1" applyBorder="1"/>
    <xf numFmtId="3" fontId="25" fillId="23" borderId="0" xfId="0" applyNumberFormat="1" applyFont="1" applyFill="1"/>
    <xf numFmtId="3" fontId="25" fillId="23" borderId="4" xfId="0" applyNumberFormat="1" applyFont="1" applyFill="1" applyBorder="1"/>
    <xf numFmtId="0" fontId="24" fillId="21" borderId="0" xfId="0" applyFont="1" applyFill="1"/>
    <xf numFmtId="0" fontId="8" fillId="0" borderId="0" xfId="54"/>
    <xf numFmtId="10" fontId="50" fillId="0" borderId="19" xfId="1" applyNumberFormat="1" applyFont="1" applyBorder="1"/>
    <xf numFmtId="10" fontId="51" fillId="17" borderId="10" xfId="1" applyNumberFormat="1" applyFont="1" applyFill="1" applyBorder="1"/>
    <xf numFmtId="9" fontId="51" fillId="0" borderId="20" xfId="1" applyFont="1" applyBorder="1"/>
    <xf numFmtId="10" fontId="51" fillId="12" borderId="20" xfId="1" applyNumberFormat="1" applyFont="1" applyFill="1" applyBorder="1"/>
    <xf numFmtId="10" fontId="51" fillId="0" borderId="20" xfId="1" applyNumberFormat="1" applyFont="1" applyBorder="1"/>
    <xf numFmtId="3" fontId="51" fillId="0" borderId="10" xfId="0" applyNumberFormat="1" applyFont="1" applyBorder="1"/>
    <xf numFmtId="10" fontId="51" fillId="0" borderId="24" xfId="1" applyNumberFormat="1" applyFont="1" applyFill="1" applyBorder="1"/>
    <xf numFmtId="0" fontId="10" fillId="0" borderId="0" xfId="22"/>
    <xf numFmtId="0" fontId="35" fillId="0" borderId="0" xfId="0" applyFont="1"/>
    <xf numFmtId="4" fontId="54" fillId="7" borderId="0" xfId="0" applyNumberFormat="1" applyFont="1" applyFill="1"/>
    <xf numFmtId="4" fontId="50" fillId="17" borderId="0" xfId="36" applyNumberFormat="1" applyFont="1" applyFill="1" applyBorder="1"/>
    <xf numFmtId="4" fontId="54" fillId="17" borderId="16" xfId="35" applyNumberFormat="1" applyFont="1" applyFill="1" applyBorder="1"/>
    <xf numFmtId="4" fontId="50" fillId="20" borderId="0" xfId="36" applyNumberFormat="1" applyFont="1" applyFill="1" applyBorder="1"/>
    <xf numFmtId="4" fontId="50" fillId="17" borderId="0" xfId="37" applyNumberFormat="1" applyFont="1" applyFill="1"/>
    <xf numFmtId="4" fontId="54" fillId="17" borderId="0" xfId="37" applyNumberFormat="1" applyFont="1" applyFill="1"/>
    <xf numFmtId="4" fontId="50" fillId="17" borderId="10" xfId="37" applyNumberFormat="1" applyFont="1" applyFill="1" applyBorder="1"/>
    <xf numFmtId="4" fontId="16" fillId="0" borderId="0" xfId="2" applyNumberFormat="1" applyFont="1" applyFill="1" applyBorder="1" applyAlignment="1">
      <alignment horizontal="right"/>
    </xf>
    <xf numFmtId="4" fontId="55" fillId="0" borderId="7" xfId="2" applyNumberFormat="1" applyFont="1" applyFill="1" applyBorder="1" applyAlignment="1">
      <alignment horizontal="right"/>
    </xf>
    <xf numFmtId="4" fontId="54" fillId="7" borderId="7" xfId="0" applyNumberFormat="1" applyFont="1" applyFill="1" applyBorder="1"/>
    <xf numFmtId="0" fontId="6" fillId="0" borderId="0" xfId="0" applyFont="1"/>
    <xf numFmtId="3" fontId="50" fillId="0" borderId="0" xfId="62" applyNumberFormat="1" applyFont="1"/>
    <xf numFmtId="3" fontId="50" fillId="0" borderId="10" xfId="62" applyNumberFormat="1" applyFont="1" applyBorder="1"/>
    <xf numFmtId="49" fontId="55" fillId="0" borderId="10" xfId="2" applyNumberFormat="1" applyFont="1" applyFill="1" applyBorder="1" applyAlignment="1">
      <alignment horizontal="right"/>
    </xf>
    <xf numFmtId="3" fontId="16" fillId="0" borderId="10" xfId="62" applyNumberFormat="1" applyFont="1" applyBorder="1"/>
    <xf numFmtId="3" fontId="16" fillId="0" borderId="0" xfId="62" applyNumberFormat="1" applyFont="1"/>
    <xf numFmtId="3" fontId="16" fillId="0" borderId="0" xfId="62" quotePrefix="1" applyNumberFormat="1" applyFont="1" applyAlignment="1">
      <alignment horizontal="right"/>
    </xf>
    <xf numFmtId="49" fontId="55" fillId="0" borderId="10" xfId="0" applyNumberFormat="1" applyFont="1" applyBorder="1" applyAlignment="1">
      <alignment horizontal="left"/>
    </xf>
    <xf numFmtId="164" fontId="50" fillId="6" borderId="0" xfId="32" applyFont="1" applyFill="1"/>
    <xf numFmtId="14" fontId="72" fillId="0" borderId="0" xfId="38" applyNumberFormat="1" applyFont="1" applyFill="1"/>
    <xf numFmtId="4" fontId="62" fillId="0" borderId="0" xfId="0" applyNumberFormat="1" applyFont="1"/>
    <xf numFmtId="0" fontId="74" fillId="0" borderId="10" xfId="2" applyFont="1" applyFill="1" applyBorder="1"/>
    <xf numFmtId="4" fontId="75" fillId="0" borderId="0" xfId="0" applyNumberFormat="1" applyFont="1"/>
    <xf numFmtId="0" fontId="54" fillId="0" borderId="10" xfId="0" applyFont="1" applyBorder="1" applyAlignment="1">
      <alignment horizontal="right"/>
    </xf>
    <xf numFmtId="0" fontId="49" fillId="0" borderId="20" xfId="37" applyFont="1" applyFill="1" applyBorder="1" applyAlignment="1">
      <alignment wrapText="1"/>
    </xf>
    <xf numFmtId="3" fontId="76" fillId="0" borderId="0" xfId="0" applyNumberFormat="1" applyFont="1"/>
    <xf numFmtId="3" fontId="29" fillId="0" borderId="0" xfId="0" applyNumberFormat="1" applyFont="1"/>
    <xf numFmtId="0" fontId="77" fillId="0" borderId="0" xfId="38" applyFont="1"/>
    <xf numFmtId="0" fontId="24" fillId="6" borderId="0" xfId="37" applyFont="1" applyFill="1"/>
    <xf numFmtId="3" fontId="76" fillId="6" borderId="0" xfId="0" applyNumberFormat="1" applyFont="1" applyFill="1"/>
    <xf numFmtId="3" fontId="24" fillId="6" borderId="0" xfId="37" applyNumberFormat="1" applyFont="1" applyFill="1" applyBorder="1"/>
    <xf numFmtId="0" fontId="36" fillId="0" borderId="0" xfId="22" applyFont="1"/>
    <xf numFmtId="3" fontId="76" fillId="0" borderId="8" xfId="0" applyNumberFormat="1" applyFont="1" applyBorder="1"/>
    <xf numFmtId="3" fontId="29" fillId="0" borderId="8" xfId="0" applyNumberFormat="1" applyFont="1" applyBorder="1"/>
    <xf numFmtId="3" fontId="36" fillId="0" borderId="0" xfId="0" applyNumberFormat="1" applyFont="1"/>
    <xf numFmtId="3" fontId="76" fillId="0" borderId="9" xfId="0" applyNumberFormat="1" applyFont="1" applyBorder="1"/>
    <xf numFmtId="0" fontId="24" fillId="6" borderId="0" xfId="37" applyFont="1" applyFill="1" applyBorder="1"/>
    <xf numFmtId="3" fontId="29" fillId="6" borderId="0" xfId="0" applyNumberFormat="1" applyFont="1" applyFill="1"/>
    <xf numFmtId="9" fontId="24" fillId="6" borderId="0" xfId="1" applyFont="1" applyFill="1" applyBorder="1"/>
    <xf numFmtId="0" fontId="24" fillId="6" borderId="25" xfId="37" applyFont="1" applyFill="1" applyBorder="1"/>
    <xf numFmtId="3" fontId="76" fillId="6" borderId="25" xfId="0" applyNumberFormat="1" applyFont="1" applyFill="1" applyBorder="1"/>
    <xf numFmtId="168" fontId="16" fillId="0" borderId="0" xfId="1" applyNumberFormat="1" applyFont="1" applyFill="1" applyBorder="1"/>
    <xf numFmtId="168" fontId="50" fillId="12" borderId="0" xfId="0" applyNumberFormat="1" applyFont="1" applyFill="1"/>
    <xf numFmtId="168" fontId="50" fillId="11" borderId="0" xfId="1" applyNumberFormat="1" applyFont="1" applyFill="1"/>
    <xf numFmtId="0" fontId="62" fillId="24" borderId="0" xfId="0" applyFont="1" applyFill="1"/>
    <xf numFmtId="0" fontId="14" fillId="24" borderId="0" xfId="0" applyFont="1" applyFill="1"/>
    <xf numFmtId="0" fontId="0" fillId="24" borderId="0" xfId="0" applyFill="1"/>
    <xf numFmtId="2" fontId="16" fillId="0" borderId="0" xfId="4" applyNumberFormat="1" applyFont="1" applyFill="1" applyBorder="1" applyAlignment="1">
      <alignment horizontal="right"/>
    </xf>
    <xf numFmtId="0" fontId="16" fillId="6" borderId="21" xfId="4" applyFont="1" applyFill="1" applyBorder="1"/>
    <xf numFmtId="0" fontId="81" fillId="0" borderId="0" xfId="4" applyFont="1" applyFill="1" applyBorder="1"/>
    <xf numFmtId="49" fontId="81" fillId="0" borderId="0" xfId="4" applyNumberFormat="1" applyFont="1" applyFill="1" applyBorder="1"/>
    <xf numFmtId="0" fontId="82" fillId="0" borderId="0" xfId="0" applyFont="1"/>
    <xf numFmtId="0" fontId="82" fillId="0" borderId="10" xfId="0" applyFont="1" applyBorder="1"/>
    <xf numFmtId="0" fontId="81" fillId="0" borderId="0" xfId="4" applyFont="1" applyFill="1" applyBorder="1" applyAlignment="1">
      <alignment wrapText="1"/>
    </xf>
    <xf numFmtId="0" fontId="58" fillId="14" borderId="0" xfId="0" applyFont="1" applyFill="1"/>
    <xf numFmtId="4" fontId="0" fillId="0" borderId="0" xfId="0" applyNumberFormat="1"/>
    <xf numFmtId="0" fontId="83" fillId="0" borderId="0" xfId="0" applyFont="1" applyAlignment="1">
      <alignment wrapText="1"/>
    </xf>
    <xf numFmtId="0" fontId="83" fillId="0" borderId="0" xfId="0" applyFont="1"/>
    <xf numFmtId="0" fontId="84" fillId="0" borderId="0" xfId="0" applyFont="1" applyAlignment="1">
      <alignment wrapText="1"/>
    </xf>
    <xf numFmtId="0" fontId="84" fillId="0" borderId="0" xfId="0" applyFont="1"/>
    <xf numFmtId="166" fontId="50" fillId="14" borderId="0" xfId="0" applyNumberFormat="1" applyFont="1" applyFill="1"/>
    <xf numFmtId="0" fontId="4" fillId="0" borderId="0" xfId="0" applyFont="1"/>
    <xf numFmtId="0" fontId="58" fillId="0" borderId="10" xfId="0" applyFont="1" applyBorder="1"/>
    <xf numFmtId="2" fontId="16" fillId="0" borderId="7" xfId="0" applyNumberFormat="1" applyFont="1" applyBorder="1"/>
    <xf numFmtId="2" fontId="16" fillId="0" borderId="0" xfId="0" applyNumberFormat="1" applyFont="1"/>
    <xf numFmtId="169" fontId="35" fillId="6" borderId="0" xfId="0" applyNumberFormat="1" applyFont="1" applyFill="1"/>
    <xf numFmtId="0" fontId="60" fillId="0" borderId="4" xfId="0" applyFont="1" applyBorder="1"/>
    <xf numFmtId="3" fontId="16" fillId="0" borderId="10" xfId="0" applyNumberFormat="1" applyFont="1" applyBorder="1"/>
    <xf numFmtId="0" fontId="53" fillId="0" borderId="4" xfId="0" applyFont="1" applyBorder="1"/>
    <xf numFmtId="0" fontId="61" fillId="0" borderId="0" xfId="0" applyFont="1"/>
    <xf numFmtId="0" fontId="61" fillId="0" borderId="10" xfId="0" applyFont="1" applyBorder="1"/>
    <xf numFmtId="0" fontId="85" fillId="0" borderId="0" xfId="0" applyFont="1" applyAlignment="1">
      <alignment wrapText="1"/>
    </xf>
    <xf numFmtId="0" fontId="78" fillId="0" borderId="0" xfId="0" applyFont="1"/>
    <xf numFmtId="0" fontId="86" fillId="0" borderId="0" xfId="0" applyFont="1" applyAlignment="1">
      <alignment horizontal="left"/>
    </xf>
    <xf numFmtId="3" fontId="86" fillId="0" borderId="0" xfId="0" applyNumberFormat="1" applyFont="1" applyAlignment="1">
      <alignment horizontal="left"/>
    </xf>
    <xf numFmtId="4" fontId="87" fillId="0" borderId="0" xfId="0" applyNumberFormat="1" applyFont="1"/>
    <xf numFmtId="2" fontId="86" fillId="0" borderId="0" xfId="0" applyNumberFormat="1" applyFont="1"/>
    <xf numFmtId="4" fontId="86" fillId="0" borderId="0" xfId="0" applyNumberFormat="1" applyFont="1" applyAlignment="1">
      <alignment horizontal="left"/>
    </xf>
    <xf numFmtId="166" fontId="0" fillId="0" borderId="0" xfId="0" applyNumberFormat="1"/>
    <xf numFmtId="0" fontId="88" fillId="0" borderId="0" xfId="0" applyFont="1"/>
    <xf numFmtId="0" fontId="24" fillId="17" borderId="0" xfId="0" applyFont="1" applyFill="1" applyAlignment="1">
      <alignment wrapText="1"/>
    </xf>
    <xf numFmtId="0" fontId="24" fillId="17" borderId="0" xfId="65" applyFont="1" applyFill="1" applyAlignment="1">
      <alignment wrapText="1"/>
    </xf>
    <xf numFmtId="0" fontId="24" fillId="17" borderId="0" xfId="65" applyFont="1" applyFill="1"/>
    <xf numFmtId="0" fontId="24" fillId="0" borderId="0" xfId="65" applyFont="1" applyFill="1"/>
    <xf numFmtId="0" fontId="49" fillId="0" borderId="0" xfId="65" applyFont="1" applyFill="1"/>
    <xf numFmtId="3" fontId="51" fillId="12" borderId="0" xfId="0" applyNumberFormat="1" applyFont="1" applyFill="1"/>
    <xf numFmtId="0" fontId="24" fillId="0" borderId="7" xfId="65" applyFont="1" applyFill="1" applyBorder="1"/>
    <xf numFmtId="3" fontId="24" fillId="12" borderId="7" xfId="0" applyNumberFormat="1" applyFont="1" applyFill="1" applyBorder="1"/>
    <xf numFmtId="0" fontId="89" fillId="0" borderId="0" xfId="38" applyFont="1"/>
    <xf numFmtId="0" fontId="80" fillId="0" borderId="0" xfId="0" applyFont="1"/>
    <xf numFmtId="3" fontId="76" fillId="0" borderId="10" xfId="0" applyNumberFormat="1" applyFont="1" applyBorder="1"/>
    <xf numFmtId="3" fontId="0" fillId="0" borderId="10" xfId="0" applyNumberFormat="1" applyBorder="1"/>
    <xf numFmtId="3" fontId="51" fillId="19" borderId="10" xfId="0" applyNumberFormat="1" applyFont="1" applyFill="1" applyBorder="1"/>
    <xf numFmtId="3" fontId="24" fillId="19" borderId="0" xfId="0" applyNumberFormat="1" applyFont="1" applyFill="1"/>
    <xf numFmtId="3" fontId="78" fillId="0" borderId="0" xfId="0" applyNumberFormat="1" applyFont="1"/>
    <xf numFmtId="3" fontId="51" fillId="17" borderId="0" xfId="0" applyNumberFormat="1" applyFont="1" applyFill="1"/>
    <xf numFmtId="0" fontId="90" fillId="0" borderId="0" xfId="0" applyFont="1" applyAlignment="1">
      <alignment vertical="top" wrapText="1"/>
    </xf>
    <xf numFmtId="0" fontId="55" fillId="0" borderId="4" xfId="0" applyFont="1" applyBorder="1"/>
    <xf numFmtId="3" fontId="16" fillId="22" borderId="0" xfId="3" applyNumberFormat="1" applyFont="1" applyFill="1" applyBorder="1"/>
    <xf numFmtId="171" fontId="16" fillId="22" borderId="0" xfId="3" applyNumberFormat="1" applyFont="1" applyFill="1" applyBorder="1"/>
    <xf numFmtId="167" fontId="0" fillId="0" borderId="0" xfId="0" applyNumberFormat="1"/>
    <xf numFmtId="173" fontId="16" fillId="0" borderId="22" xfId="4" applyNumberFormat="1" applyFont="1" applyFill="1" applyBorder="1"/>
    <xf numFmtId="172" fontId="16" fillId="0" borderId="0" xfId="4" applyNumberFormat="1" applyFont="1" applyFill="1" applyBorder="1"/>
    <xf numFmtId="2" fontId="16" fillId="0" borderId="0" xfId="4" applyNumberFormat="1" applyFont="1" applyFill="1" applyBorder="1"/>
    <xf numFmtId="3" fontId="50" fillId="0" borderId="10" xfId="36" applyNumberFormat="1" applyFont="1" applyFill="1" applyBorder="1"/>
    <xf numFmtId="3" fontId="54" fillId="17" borderId="0" xfId="37" applyNumberFormat="1" applyFont="1" applyFill="1"/>
    <xf numFmtId="3" fontId="50" fillId="17" borderId="0" xfId="36" applyNumberFormat="1" applyFont="1" applyFill="1" applyBorder="1"/>
    <xf numFmtId="3" fontId="54" fillId="17" borderId="16" xfId="35" applyNumberFormat="1" applyFont="1" applyFill="1" applyBorder="1"/>
    <xf numFmtId="0" fontId="62" fillId="0" borderId="0" xfId="0" applyFont="1" applyAlignment="1">
      <alignment wrapText="1"/>
    </xf>
    <xf numFmtId="49" fontId="54" fillId="0" borderId="10" xfId="0" applyNumberFormat="1" applyFont="1" applyBorder="1" applyAlignment="1">
      <alignment horizontal="center" wrapText="1"/>
    </xf>
    <xf numFmtId="175" fontId="55" fillId="0" borderId="7" xfId="1" applyNumberFormat="1" applyFont="1" applyBorder="1"/>
    <xf numFmtId="0" fontId="32" fillId="6" borderId="0" xfId="38" applyFill="1" applyBorder="1"/>
    <xf numFmtId="171" fontId="50" fillId="17" borderId="0" xfId="0" applyNumberFormat="1" applyFont="1" applyFill="1"/>
    <xf numFmtId="171" fontId="50" fillId="17" borderId="10" xfId="0" applyNumberFormat="1" applyFont="1" applyFill="1" applyBorder="1"/>
    <xf numFmtId="171" fontId="54" fillId="17" borderId="0" xfId="0" applyNumberFormat="1" applyFont="1" applyFill="1"/>
    <xf numFmtId="175" fontId="54" fillId="6" borderId="7" xfId="1" applyNumberFormat="1" applyFont="1" applyFill="1" applyBorder="1"/>
    <xf numFmtId="0" fontId="32" fillId="0" borderId="0" xfId="38" applyFill="1"/>
    <xf numFmtId="174" fontId="50" fillId="0" borderId="0" xfId="1" applyNumberFormat="1" applyFont="1"/>
    <xf numFmtId="174" fontId="50" fillId="0" borderId="10" xfId="1" applyNumberFormat="1" applyFont="1" applyBorder="1"/>
    <xf numFmtId="175" fontId="55" fillId="13" borderId="7" xfId="1" applyNumberFormat="1" applyFont="1" applyFill="1" applyBorder="1"/>
    <xf numFmtId="0" fontId="94" fillId="0" borderId="0" xfId="0" applyFont="1"/>
    <xf numFmtId="0" fontId="73" fillId="0" borderId="0" xfId="0" applyFont="1"/>
    <xf numFmtId="0" fontId="95" fillId="24" borderId="0" xfId="0" applyFont="1" applyFill="1"/>
    <xf numFmtId="0" fontId="96" fillId="24" borderId="0" xfId="0" applyFont="1" applyFill="1"/>
    <xf numFmtId="0" fontId="92" fillId="0" borderId="0" xfId="0" applyFont="1"/>
    <xf numFmtId="0" fontId="32" fillId="0" borderId="0" xfId="38"/>
    <xf numFmtId="0" fontId="86" fillId="0" borderId="0" xfId="0" applyFont="1"/>
    <xf numFmtId="3" fontId="98" fillId="0" borderId="0" xfId="0" applyNumberFormat="1" applyFont="1" applyAlignment="1">
      <alignment horizontal="right"/>
    </xf>
    <xf numFmtId="174" fontId="0" fillId="0" borderId="0" xfId="0" applyNumberFormat="1"/>
    <xf numFmtId="1" fontId="22" fillId="0" borderId="0" xfId="70" applyNumberFormat="1"/>
    <xf numFmtId="9" fontId="76" fillId="6" borderId="25" xfId="1" applyFont="1" applyFill="1" applyBorder="1"/>
    <xf numFmtId="3" fontId="76" fillId="6" borderId="25" xfId="1" applyNumberFormat="1" applyFont="1" applyFill="1" applyBorder="1"/>
    <xf numFmtId="9" fontId="84" fillId="6" borderId="0" xfId="0" applyNumberFormat="1" applyFont="1" applyFill="1"/>
    <xf numFmtId="3" fontId="71" fillId="0" borderId="0" xfId="0" applyNumberFormat="1" applyFont="1"/>
    <xf numFmtId="0" fontId="49" fillId="0" borderId="0" xfId="65" applyFont="1" applyFill="1" applyBorder="1"/>
    <xf numFmtId="2" fontId="0" fillId="0" borderId="0" xfId="0" applyNumberFormat="1"/>
    <xf numFmtId="0" fontId="55" fillId="6" borderId="0" xfId="4" applyFont="1" applyFill="1" applyBorder="1"/>
    <xf numFmtId="0" fontId="0" fillId="6" borderId="0" xfId="0" applyFill="1"/>
    <xf numFmtId="177" fontId="50" fillId="22" borderId="0" xfId="0" applyNumberFormat="1" applyFont="1" applyFill="1"/>
    <xf numFmtId="3" fontId="83" fillId="0" borderId="0" xfId="0" applyNumberFormat="1" applyFont="1"/>
    <xf numFmtId="4" fontId="83" fillId="0" borderId="0" xfId="0" applyNumberFormat="1" applyFont="1"/>
    <xf numFmtId="3" fontId="49" fillId="0" borderId="0" xfId="37" applyNumberFormat="1" applyFont="1" applyFill="1"/>
    <xf numFmtId="177" fontId="16" fillId="22" borderId="0" xfId="3" applyNumberFormat="1" applyFont="1" applyFill="1" applyBorder="1"/>
    <xf numFmtId="0" fontId="0" fillId="0" borderId="0" xfId="0" applyAlignment="1">
      <alignment vertical="top"/>
    </xf>
    <xf numFmtId="0" fontId="93" fillId="0" borderId="0" xfId="0" applyFont="1" applyAlignment="1">
      <alignment vertical="top"/>
    </xf>
    <xf numFmtId="10" fontId="50" fillId="0" borderId="10" xfId="1" applyNumberFormat="1" applyFont="1" applyBorder="1"/>
    <xf numFmtId="0" fontId="24" fillId="0" borderId="0" xfId="66" applyFont="1" applyAlignment="1">
      <alignment horizontal="center"/>
    </xf>
    <xf numFmtId="3" fontId="2" fillId="0" borderId="0" xfId="66" applyNumberFormat="1" applyAlignment="1">
      <alignment horizontal="center"/>
    </xf>
    <xf numFmtId="176" fontId="0" fillId="0" borderId="0" xfId="0" applyNumberFormat="1"/>
    <xf numFmtId="3" fontId="24" fillId="0" borderId="0" xfId="66" applyNumberFormat="1" applyFont="1" applyAlignment="1">
      <alignment horizontal="center"/>
    </xf>
    <xf numFmtId="0" fontId="2" fillId="0" borderId="0" xfId="66" applyAlignment="1">
      <alignment horizontal="center"/>
    </xf>
    <xf numFmtId="49" fontId="54" fillId="0" borderId="0" xfId="0" applyNumberFormat="1" applyFont="1" applyAlignment="1">
      <alignment horizontal="right"/>
    </xf>
    <xf numFmtId="49" fontId="55" fillId="0" borderId="0" xfId="0" applyNumberFormat="1" applyFont="1" applyAlignment="1">
      <alignment horizontal="right"/>
    </xf>
    <xf numFmtId="0" fontId="102" fillId="0" borderId="0" xfId="22" applyFont="1"/>
    <xf numFmtId="0" fontId="103" fillId="0" borderId="0" xfId="0" applyFont="1"/>
    <xf numFmtId="10" fontId="16" fillId="0" borderId="0" xfId="1" applyNumberFormat="1" applyFont="1" applyFill="1" applyBorder="1"/>
    <xf numFmtId="10" fontId="16" fillId="0" borderId="10" xfId="1" applyNumberFormat="1" applyFont="1" applyFill="1" applyBorder="1"/>
    <xf numFmtId="0" fontId="60" fillId="0" borderId="0" xfId="0" applyFont="1"/>
    <xf numFmtId="3" fontId="50" fillId="20" borderId="0" xfId="36" applyNumberFormat="1" applyFont="1" applyFill="1" applyBorder="1"/>
    <xf numFmtId="3" fontId="50" fillId="20" borderId="10" xfId="36" applyNumberFormat="1" applyFont="1" applyFill="1" applyBorder="1"/>
    <xf numFmtId="3" fontId="54" fillId="20" borderId="0" xfId="36" applyNumberFormat="1" applyFont="1" applyFill="1" applyBorder="1"/>
    <xf numFmtId="0" fontId="32" fillId="0" borderId="0" xfId="38" applyFill="1" applyBorder="1"/>
    <xf numFmtId="0" fontId="0" fillId="27" borderId="0" xfId="0" applyFill="1"/>
    <xf numFmtId="0" fontId="16" fillId="28" borderId="21" xfId="4" applyFont="1" applyFill="1" applyBorder="1"/>
    <xf numFmtId="173" fontId="16" fillId="28" borderId="22" xfId="4" applyNumberFormat="1" applyFont="1" applyFill="1" applyBorder="1"/>
    <xf numFmtId="0" fontId="55" fillId="28" borderId="0" xfId="4" applyFont="1" applyFill="1" applyBorder="1"/>
    <xf numFmtId="0" fontId="16" fillId="28" borderId="0" xfId="4" applyFont="1" applyFill="1" applyBorder="1" applyAlignment="1">
      <alignment horizontal="right"/>
    </xf>
    <xf numFmtId="2" fontId="16" fillId="28" borderId="0" xfId="4" applyNumberFormat="1" applyFont="1" applyFill="1" applyBorder="1" applyAlignment="1">
      <alignment horizontal="right"/>
    </xf>
    <xf numFmtId="2" fontId="16" fillId="28" borderId="0" xfId="4" applyNumberFormat="1" applyFont="1" applyFill="1" applyBorder="1"/>
    <xf numFmtId="0" fontId="54" fillId="28" borderId="0" xfId="0" applyFont="1" applyFill="1"/>
    <xf numFmtId="164" fontId="50" fillId="28" borderId="0" xfId="32" applyFont="1" applyFill="1"/>
    <xf numFmtId="0" fontId="0" fillId="28" borderId="0" xfId="0" applyFill="1"/>
    <xf numFmtId="167" fontId="16" fillId="28" borderId="0" xfId="4" applyNumberFormat="1" applyFont="1" applyFill="1" applyBorder="1"/>
    <xf numFmtId="172" fontId="16" fillId="28" borderId="0" xfId="4" applyNumberFormat="1" applyFont="1" applyFill="1" applyBorder="1"/>
    <xf numFmtId="0" fontId="50" fillId="28" borderId="0" xfId="0" applyFont="1" applyFill="1"/>
    <xf numFmtId="4" fontId="16" fillId="28" borderId="0" xfId="3" applyNumberFormat="1" applyFont="1" applyFill="1" applyBorder="1"/>
    <xf numFmtId="0" fontId="24" fillId="28" borderId="0" xfId="0" applyFont="1" applyFill="1"/>
    <xf numFmtId="3" fontId="55" fillId="28" borderId="0" xfId="4" applyNumberFormat="1" applyFont="1" applyFill="1" applyBorder="1"/>
    <xf numFmtId="0" fontId="0" fillId="12" borderId="0" xfId="0" applyFill="1"/>
    <xf numFmtId="0" fontId="0" fillId="29" borderId="26" xfId="0" applyFill="1" applyBorder="1"/>
    <xf numFmtId="0" fontId="0" fillId="29" borderId="27" xfId="0" applyFill="1" applyBorder="1"/>
    <xf numFmtId="2" fontId="86" fillId="29" borderId="27" xfId="0" applyNumberFormat="1" applyFont="1" applyFill="1" applyBorder="1"/>
    <xf numFmtId="0" fontId="62" fillId="29" borderId="26" xfId="0" applyFont="1" applyFill="1" applyBorder="1"/>
    <xf numFmtId="0" fontId="62" fillId="29" borderId="27" xfId="0" applyFont="1" applyFill="1" applyBorder="1"/>
    <xf numFmtId="170" fontId="62" fillId="29" borderId="27" xfId="0" applyNumberFormat="1" applyFont="1" applyFill="1" applyBorder="1"/>
    <xf numFmtId="3" fontId="16" fillId="29" borderId="27" xfId="0" applyNumberFormat="1" applyFont="1" applyFill="1" applyBorder="1"/>
    <xf numFmtId="173" fontId="16" fillId="6" borderId="22" xfId="4" applyNumberFormat="1" applyFont="1" applyFill="1" applyBorder="1"/>
    <xf numFmtId="164" fontId="50" fillId="0" borderId="0" xfId="32" applyFont="1" applyFill="1"/>
    <xf numFmtId="0" fontId="104" fillId="14" borderId="0" xfId="0" applyFont="1" applyFill="1"/>
    <xf numFmtId="0" fontId="0" fillId="14" borderId="0" xfId="0" applyFill="1"/>
    <xf numFmtId="174" fontId="0" fillId="0" borderId="0" xfId="1" applyNumberFormat="1" applyFont="1"/>
    <xf numFmtId="0" fontId="80" fillId="0" borderId="0" xfId="0" applyFont="1" applyAlignment="1">
      <alignment vertical="top"/>
    </xf>
    <xf numFmtId="3" fontId="84" fillId="0" borderId="0" xfId="0" applyNumberFormat="1" applyFont="1"/>
    <xf numFmtId="0" fontId="24" fillId="17" borderId="0" xfId="65" applyFont="1" applyFill="1" applyAlignment="1">
      <alignment horizontal="right"/>
    </xf>
    <xf numFmtId="0" fontId="80" fillId="0" borderId="0" xfId="0" applyFont="1" applyAlignment="1">
      <alignment horizontal="left" vertical="top" wrapText="1"/>
    </xf>
    <xf numFmtId="3" fontId="105" fillId="30" borderId="0" xfId="0" applyNumberFormat="1" applyFont="1" applyFill="1"/>
    <xf numFmtId="0" fontId="0" fillId="25" borderId="0" xfId="0" applyFill="1"/>
    <xf numFmtId="0" fontId="90" fillId="25" borderId="0" xfId="0" applyFont="1" applyFill="1" applyAlignment="1">
      <alignment vertical="top"/>
    </xf>
    <xf numFmtId="3" fontId="0" fillId="25" borderId="0" xfId="0" applyNumberFormat="1" applyFill="1"/>
    <xf numFmtId="0" fontId="91" fillId="25" borderId="0" xfId="0" applyFont="1" applyFill="1" applyAlignment="1">
      <alignment vertical="top"/>
    </xf>
    <xf numFmtId="0" fontId="76" fillId="0" borderId="0" xfId="0" applyFont="1"/>
    <xf numFmtId="15" fontId="106" fillId="0" borderId="10" xfId="0" applyNumberFormat="1" applyFont="1" applyBorder="1"/>
    <xf numFmtId="49" fontId="106" fillId="0" borderId="10" xfId="0" applyNumberFormat="1" applyFont="1" applyBorder="1" applyAlignment="1">
      <alignment horizontal="center" wrapText="1"/>
    </xf>
    <xf numFmtId="49" fontId="106" fillId="13" borderId="10" xfId="0" applyNumberFormat="1" applyFont="1" applyFill="1" applyBorder="1" applyAlignment="1">
      <alignment horizontal="center"/>
    </xf>
    <xf numFmtId="0" fontId="106" fillId="0" borderId="0" xfId="37" applyFont="1" applyFill="1"/>
    <xf numFmtId="3" fontId="70" fillId="0" borderId="0" xfId="37" applyNumberFormat="1" applyFont="1" applyFill="1"/>
    <xf numFmtId="3" fontId="106" fillId="13" borderId="0" xfId="0" applyNumberFormat="1" applyFont="1" applyFill="1"/>
    <xf numFmtId="0" fontId="106" fillId="0" borderId="10" xfId="37" applyFont="1" applyFill="1" applyBorder="1"/>
    <xf numFmtId="3" fontId="70" fillId="0" borderId="10" xfId="37" applyNumberFormat="1" applyFont="1" applyFill="1" applyBorder="1"/>
    <xf numFmtId="3" fontId="106" fillId="13" borderId="10" xfId="0" applyNumberFormat="1" applyFont="1" applyFill="1" applyBorder="1"/>
    <xf numFmtId="3" fontId="106" fillId="0" borderId="0" xfId="37" applyNumberFormat="1" applyFont="1" applyFill="1"/>
    <xf numFmtId="172" fontId="54" fillId="0" borderId="28" xfId="0" applyNumberFormat="1" applyFont="1" applyBorder="1"/>
    <xf numFmtId="0" fontId="91" fillId="0" borderId="0" xfId="0" applyFont="1"/>
    <xf numFmtId="0" fontId="91" fillId="0" borderId="0" xfId="0" applyFont="1" applyAlignment="1">
      <alignment vertical="top" wrapText="1"/>
    </xf>
    <xf numFmtId="0" fontId="90" fillId="0" borderId="0" xfId="0" applyFont="1"/>
    <xf numFmtId="0" fontId="45" fillId="0" borderId="0" xfId="0" applyFont="1"/>
    <xf numFmtId="0" fontId="91" fillId="0" borderId="0" xfId="0" applyFont="1" applyAlignment="1">
      <alignment horizontal="right"/>
    </xf>
    <xf numFmtId="0" fontId="45" fillId="0" borderId="0" xfId="0" applyFont="1" applyAlignment="1">
      <alignment vertical="top" wrapText="1"/>
    </xf>
    <xf numFmtId="14" fontId="38" fillId="0" borderId="0" xfId="0" applyNumberFormat="1" applyFont="1"/>
    <xf numFmtId="14" fontId="38" fillId="0" borderId="0" xfId="0" applyNumberFormat="1" applyFont="1" applyAlignment="1">
      <alignment horizontal="right"/>
    </xf>
    <xf numFmtId="0" fontId="40" fillId="0" borderId="0" xfId="0" applyFont="1" applyAlignment="1">
      <alignment horizontal="right"/>
    </xf>
    <xf numFmtId="0" fontId="97" fillId="0" borderId="0" xfId="0" applyFont="1"/>
    <xf numFmtId="0" fontId="97" fillId="0" borderId="0" xfId="0" applyFont="1" applyAlignment="1">
      <alignment vertical="top" wrapText="1"/>
    </xf>
    <xf numFmtId="0" fontId="97" fillId="0" borderId="17" xfId="0" applyFont="1" applyBorder="1"/>
    <xf numFmtId="0" fontId="97" fillId="0" borderId="7" xfId="0" applyFont="1" applyBorder="1"/>
    <xf numFmtId="0" fontId="97" fillId="0" borderId="7" xfId="0" applyFont="1" applyBorder="1" applyAlignment="1">
      <alignment vertical="top" wrapText="1"/>
    </xf>
    <xf numFmtId="0" fontId="97" fillId="0" borderId="29" xfId="0" applyFont="1" applyBorder="1"/>
    <xf numFmtId="0" fontId="38" fillId="0" borderId="8" xfId="0" applyFont="1" applyBorder="1"/>
    <xf numFmtId="0" fontId="38" fillId="0" borderId="0" xfId="0" applyFont="1" applyAlignment="1">
      <alignment wrapText="1"/>
    </xf>
    <xf numFmtId="0" fontId="97" fillId="0" borderId="19" xfId="0" applyFont="1" applyBorder="1"/>
    <xf numFmtId="2" fontId="38" fillId="0" borderId="8" xfId="0" applyNumberFormat="1" applyFont="1" applyBorder="1" applyAlignment="1">
      <alignment horizontal="left"/>
    </xf>
    <xf numFmtId="0" fontId="97" fillId="0" borderId="9" xfId="0" applyFont="1" applyBorder="1"/>
    <xf numFmtId="0" fontId="97" fillId="0" borderId="10" xfId="0" applyFont="1" applyBorder="1"/>
    <xf numFmtId="0" fontId="97" fillId="0" borderId="10" xfId="0" applyFont="1" applyBorder="1" applyAlignment="1">
      <alignment vertical="top" wrapText="1"/>
    </xf>
    <xf numFmtId="0" fontId="97" fillId="0" borderId="20" xfId="0" applyFont="1" applyBorder="1"/>
    <xf numFmtId="2" fontId="107" fillId="0" borderId="19" xfId="0" applyNumberFormat="1" applyFont="1" applyBorder="1" applyAlignment="1">
      <alignment horizontal="left" vertical="top" wrapText="1"/>
    </xf>
    <xf numFmtId="0" fontId="107" fillId="0" borderId="13" xfId="0" applyFont="1" applyBorder="1" applyAlignment="1">
      <alignment horizontal="left" vertical="top" wrapText="1"/>
    </xf>
    <xf numFmtId="2" fontId="107" fillId="0" borderId="13" xfId="0" applyNumberFormat="1" applyFont="1" applyBorder="1" applyAlignment="1">
      <alignment vertical="top" wrapText="1"/>
    </xf>
    <xf numFmtId="0" fontId="107" fillId="0" borderId="30" xfId="0" applyFont="1" applyBorder="1" applyAlignment="1">
      <alignment vertical="top" wrapText="1"/>
    </xf>
    <xf numFmtId="0" fontId="108" fillId="0" borderId="30" xfId="0" applyFont="1" applyBorder="1" applyAlignment="1">
      <alignment vertical="top" wrapText="1"/>
    </xf>
    <xf numFmtId="0" fontId="107" fillId="31" borderId="30" xfId="0" applyFont="1" applyFill="1" applyBorder="1" applyAlignment="1">
      <alignment vertical="top" wrapText="1"/>
    </xf>
    <xf numFmtId="0" fontId="107" fillId="31" borderId="31" xfId="0" applyFont="1" applyFill="1" applyBorder="1" applyAlignment="1">
      <alignment vertical="top" wrapText="1"/>
    </xf>
    <xf numFmtId="0" fontId="107" fillId="32" borderId="31" xfId="0" applyFont="1" applyFill="1" applyBorder="1" applyAlignment="1">
      <alignment horizontal="center" vertical="top" wrapText="1"/>
    </xf>
    <xf numFmtId="0" fontId="38" fillId="0" borderId="32" xfId="0" applyFont="1" applyBorder="1" applyAlignment="1">
      <alignment horizontal="center" vertical="top"/>
    </xf>
    <xf numFmtId="178" fontId="38" fillId="0" borderId="33" xfId="0" applyNumberFormat="1" applyFont="1" applyBorder="1" applyAlignment="1">
      <alignment horizontal="center" vertical="top"/>
    </xf>
    <xf numFmtId="0" fontId="38" fillId="0" borderId="33" xfId="0" applyFont="1" applyBorder="1" applyAlignment="1">
      <alignment vertical="top" wrapText="1"/>
    </xf>
    <xf numFmtId="3" fontId="38" fillId="0" borderId="31" xfId="0" applyNumberFormat="1" applyFont="1" applyBorder="1" applyAlignment="1">
      <alignment vertical="top"/>
    </xf>
    <xf numFmtId="168" fontId="38" fillId="0" borderId="31" xfId="71" applyNumberFormat="1" applyFont="1" applyBorder="1" applyAlignment="1">
      <alignment vertical="top"/>
    </xf>
    <xf numFmtId="168" fontId="38" fillId="0" borderId="31" xfId="71" applyNumberFormat="1" applyFont="1" applyBorder="1" applyAlignment="1">
      <alignment vertical="center"/>
    </xf>
    <xf numFmtId="0" fontId="78" fillId="0" borderId="10" xfId="0" applyFont="1" applyBorder="1"/>
    <xf numFmtId="0" fontId="109" fillId="0" borderId="0" xfId="0" applyFont="1" applyAlignment="1">
      <alignment horizontal="left"/>
    </xf>
    <xf numFmtId="0" fontId="0" fillId="0" borderId="28" xfId="0" applyBorder="1"/>
    <xf numFmtId="0" fontId="54" fillId="0" borderId="28" xfId="0" applyFont="1" applyBorder="1"/>
    <xf numFmtId="0" fontId="110" fillId="0" borderId="0" xfId="0" applyFont="1"/>
    <xf numFmtId="0" fontId="111" fillId="0" borderId="0" xfId="0" applyFont="1"/>
    <xf numFmtId="0" fontId="112" fillId="0" borderId="0" xfId="0" applyFont="1"/>
    <xf numFmtId="0" fontId="112" fillId="0" borderId="36" xfId="0" applyFont="1" applyBorder="1"/>
    <xf numFmtId="14" fontId="34" fillId="0" borderId="0" xfId="0" quotePrefix="1" applyNumberFormat="1" applyFont="1"/>
    <xf numFmtId="0" fontId="54" fillId="17" borderId="4" xfId="0" applyFont="1" applyFill="1" applyBorder="1" applyAlignment="1">
      <alignment horizontal="right"/>
    </xf>
    <xf numFmtId="0" fontId="4" fillId="5" borderId="3" xfId="4" applyFont="1"/>
    <xf numFmtId="0" fontId="0" fillId="5" borderId="3" xfId="4" applyFont="1"/>
    <xf numFmtId="0" fontId="122" fillId="0" borderId="0" xfId="0" applyFont="1"/>
    <xf numFmtId="0" fontId="62" fillId="28" borderId="0" xfId="0" applyFont="1" applyFill="1"/>
    <xf numFmtId="0" fontId="0" fillId="28" borderId="0" xfId="0" applyFill="1" applyAlignment="1">
      <alignment wrapText="1"/>
    </xf>
    <xf numFmtId="0" fontId="54" fillId="0" borderId="10" xfId="0" applyFont="1" applyBorder="1" applyAlignment="1">
      <alignment horizontal="left" vertical="top"/>
    </xf>
    <xf numFmtId="0" fontId="123" fillId="0" borderId="0" xfId="0" applyFont="1"/>
    <xf numFmtId="0" fontId="124" fillId="0" borderId="0" xfId="0" applyFont="1"/>
    <xf numFmtId="0" fontId="123" fillId="0" borderId="36" xfId="0" applyFont="1" applyBorder="1"/>
    <xf numFmtId="0" fontId="123" fillId="0" borderId="36" xfId="0" applyFont="1" applyBorder="1" applyAlignment="1">
      <alignment horizontal="right"/>
    </xf>
    <xf numFmtId="0" fontId="123" fillId="0" borderId="34" xfId="0" applyFont="1" applyBorder="1" applyAlignment="1">
      <alignment horizontal="center"/>
    </xf>
    <xf numFmtId="0" fontId="123" fillId="0" borderId="10" xfId="0" applyFont="1" applyBorder="1"/>
    <xf numFmtId="0" fontId="123" fillId="0" borderId="10" xfId="0" applyFont="1" applyBorder="1" applyAlignment="1">
      <alignment horizontal="right"/>
    </xf>
    <xf numFmtId="17" fontId="123" fillId="0" borderId="10" xfId="0" applyNumberFormat="1" applyFont="1" applyBorder="1" applyAlignment="1">
      <alignment horizontal="right"/>
    </xf>
    <xf numFmtId="0" fontId="112" fillId="0" borderId="10" xfId="0" applyFont="1" applyBorder="1" applyAlignment="1">
      <alignment horizontal="right"/>
    </xf>
    <xf numFmtId="17" fontId="112" fillId="0" borderId="10" xfId="0" applyNumberFormat="1" applyFont="1" applyBorder="1" applyAlignment="1">
      <alignment horizontal="right"/>
    </xf>
    <xf numFmtId="0" fontId="125" fillId="0" borderId="0" xfId="0" applyFont="1"/>
    <xf numFmtId="0" fontId="123" fillId="0" borderId="0" xfId="0" applyFont="1" applyAlignment="1">
      <alignment horizontal="right"/>
    </xf>
    <xf numFmtId="3" fontId="112" fillId="0" borderId="0" xfId="0" applyNumberFormat="1" applyFont="1"/>
    <xf numFmtId="3" fontId="123" fillId="0" borderId="0" xfId="0" applyNumberFormat="1" applyFont="1"/>
    <xf numFmtId="0" fontId="112" fillId="0" borderId="0" xfId="0" applyFont="1" applyAlignment="1">
      <alignment horizontal="right"/>
    </xf>
    <xf numFmtId="3" fontId="125" fillId="0" borderId="0" xfId="0" applyNumberFormat="1" applyFont="1"/>
    <xf numFmtId="0" fontId="125" fillId="0" borderId="28" xfId="0" applyFont="1" applyBorder="1"/>
    <xf numFmtId="0" fontId="123" fillId="0" borderId="28" xfId="0" applyFont="1" applyBorder="1"/>
    <xf numFmtId="0" fontId="126" fillId="0" borderId="0" xfId="0" applyFont="1"/>
    <xf numFmtId="0" fontId="112" fillId="0" borderId="28" xfId="0" applyFont="1" applyBorder="1"/>
    <xf numFmtId="0" fontId="123" fillId="0" borderId="7" xfId="0" applyFont="1" applyBorder="1"/>
    <xf numFmtId="0" fontId="112" fillId="0" borderId="7" xfId="0" applyFont="1" applyBorder="1"/>
    <xf numFmtId="2" fontId="123" fillId="0" borderId="0" xfId="0" applyNumberFormat="1" applyFont="1"/>
    <xf numFmtId="2" fontId="123" fillId="0" borderId="0" xfId="0" applyNumberFormat="1" applyFont="1" applyAlignment="1">
      <alignment horizontal="right"/>
    </xf>
    <xf numFmtId="2" fontId="112" fillId="0" borderId="0" xfId="0" applyNumberFormat="1" applyFont="1"/>
    <xf numFmtId="3" fontId="27" fillId="0" borderId="0" xfId="0" applyNumberFormat="1" applyFont="1"/>
    <xf numFmtId="0" fontId="8" fillId="35" borderId="27" xfId="0" applyFont="1" applyFill="1" applyBorder="1"/>
    <xf numFmtId="0" fontId="53" fillId="25" borderId="4" xfId="0" applyFont="1" applyFill="1" applyBorder="1"/>
    <xf numFmtId="3" fontId="50" fillId="25" borderId="0" xfId="0" applyNumberFormat="1" applyFont="1" applyFill="1"/>
    <xf numFmtId="3" fontId="50" fillId="25" borderId="10" xfId="0" applyNumberFormat="1" applyFont="1" applyFill="1" applyBorder="1"/>
    <xf numFmtId="3" fontId="54" fillId="25" borderId="0" xfId="0" applyNumberFormat="1" applyFont="1" applyFill="1"/>
    <xf numFmtId="0" fontId="20" fillId="0" borderId="0" xfId="0" applyFont="1" applyAlignment="1">
      <alignment wrapText="1"/>
    </xf>
    <xf numFmtId="10" fontId="0" fillId="0" borderId="0" xfId="1" applyNumberFormat="1" applyFont="1"/>
    <xf numFmtId="168" fontId="127" fillId="0" borderId="0" xfId="1" applyNumberFormat="1" applyFont="1"/>
    <xf numFmtId="9" fontId="127" fillId="0" borderId="0" xfId="1" applyFont="1"/>
    <xf numFmtId="168" fontId="0" fillId="0" borderId="0" xfId="0" applyNumberFormat="1"/>
    <xf numFmtId="0" fontId="115" fillId="0" borderId="0" xfId="72" applyFont="1" applyFill="1" applyBorder="1"/>
    <xf numFmtId="0" fontId="116" fillId="0" borderId="0" xfId="0" applyFont="1" applyAlignment="1">
      <alignment horizontal="left" vertical="center" wrapText="1"/>
    </xf>
    <xf numFmtId="0" fontId="114" fillId="0" borderId="0" xfId="73" applyFill="1" applyBorder="1"/>
    <xf numFmtId="0" fontId="114" fillId="0" borderId="0" xfId="73" applyFill="1" applyBorder="1" applyAlignment="1">
      <alignment wrapText="1"/>
    </xf>
    <xf numFmtId="0" fontId="117" fillId="0" borderId="0" xfId="0" applyFont="1" applyAlignment="1">
      <alignment horizontal="left" vertical="center" wrapText="1"/>
    </xf>
    <xf numFmtId="3" fontId="118" fillId="0" borderId="0" xfId="0" applyNumberFormat="1" applyFont="1" applyAlignment="1">
      <alignment horizontal="right" vertical="center"/>
    </xf>
    <xf numFmtId="2" fontId="20" fillId="0" borderId="0" xfId="9" applyNumberFormat="1"/>
    <xf numFmtId="0" fontId="118" fillId="0" borderId="0" xfId="0" applyFont="1" applyAlignment="1">
      <alignment horizontal="right" vertical="center"/>
    </xf>
    <xf numFmtId="0" fontId="24" fillId="0" borderId="0" xfId="37" applyFont="1" applyFill="1" applyBorder="1" applyAlignment="1">
      <alignment wrapText="1"/>
    </xf>
    <xf numFmtId="3" fontId="51" fillId="0" borderId="0" xfId="0" applyNumberFormat="1" applyFont="1"/>
    <xf numFmtId="0" fontId="94" fillId="0" borderId="10" xfId="0" applyFont="1" applyBorder="1"/>
    <xf numFmtId="0" fontId="94" fillId="0" borderId="0" xfId="0" applyFont="1" applyAlignment="1">
      <alignment horizontal="right"/>
    </xf>
    <xf numFmtId="3" fontId="127" fillId="0" borderId="0" xfId="0" applyNumberFormat="1" applyFont="1"/>
    <xf numFmtId="4" fontId="127" fillId="0" borderId="0" xfId="0" applyNumberFormat="1" applyFont="1"/>
    <xf numFmtId="0" fontId="63" fillId="0" borderId="0" xfId="0" applyFont="1" applyAlignment="1">
      <alignment horizontal="left" vertical="top" wrapText="1"/>
    </xf>
    <xf numFmtId="49" fontId="24" fillId="0" borderId="0" xfId="37" applyNumberFormat="1" applyFont="1" applyFill="1" applyAlignment="1">
      <alignment wrapText="1"/>
    </xf>
    <xf numFmtId="0" fontId="115" fillId="6" borderId="0" xfId="72" applyFont="1" applyFill="1"/>
    <xf numFmtId="0" fontId="129" fillId="34" borderId="46" xfId="0" applyFont="1" applyFill="1" applyBorder="1" applyAlignment="1">
      <alignment horizontal="left" vertical="center" wrapText="1"/>
    </xf>
    <xf numFmtId="0" fontId="130" fillId="0" borderId="47" xfId="73" applyFont="1" applyBorder="1" applyAlignment="1">
      <alignment wrapText="1"/>
    </xf>
    <xf numFmtId="0" fontId="130" fillId="0" borderId="48" xfId="73" applyFont="1" applyBorder="1" applyAlignment="1">
      <alignment wrapText="1"/>
    </xf>
    <xf numFmtId="0" fontId="130" fillId="0" borderId="49" xfId="73" applyFont="1" applyBorder="1" applyAlignment="1">
      <alignment wrapText="1"/>
    </xf>
    <xf numFmtId="0" fontId="130" fillId="0" borderId="50" xfId="73" applyFont="1" applyBorder="1" applyAlignment="1">
      <alignment wrapText="1"/>
    </xf>
    <xf numFmtId="0" fontId="131" fillId="34" borderId="37" xfId="0" applyFont="1" applyFill="1" applyBorder="1" applyAlignment="1">
      <alignment horizontal="left" vertical="center" wrapText="1"/>
    </xf>
    <xf numFmtId="3" fontId="132" fillId="34" borderId="37" xfId="0" applyNumberFormat="1" applyFont="1" applyFill="1" applyBorder="1" applyAlignment="1">
      <alignment horizontal="right" vertical="center" wrapText="1"/>
    </xf>
    <xf numFmtId="4" fontId="133" fillId="6" borderId="38" xfId="0" applyNumberFormat="1" applyFont="1" applyFill="1" applyBorder="1"/>
    <xf numFmtId="3" fontId="133" fillId="6" borderId="38" xfId="0" applyNumberFormat="1" applyFont="1" applyFill="1" applyBorder="1"/>
    <xf numFmtId="168" fontId="134" fillId="6" borderId="0" xfId="1" applyNumberFormat="1" applyFont="1" applyFill="1" applyBorder="1"/>
    <xf numFmtId="3" fontId="135" fillId="6" borderId="38" xfId="0" applyNumberFormat="1" applyFont="1" applyFill="1" applyBorder="1"/>
    <xf numFmtId="0" fontId="136" fillId="34" borderId="37" xfId="0" applyFont="1" applyFill="1" applyBorder="1" applyAlignment="1">
      <alignment horizontal="left" vertical="center" wrapText="1"/>
    </xf>
    <xf numFmtId="4" fontId="135" fillId="6" borderId="38" xfId="0" applyNumberFormat="1" applyFont="1" applyFill="1" applyBorder="1"/>
    <xf numFmtId="168" fontId="137" fillId="6" borderId="0" xfId="1" applyNumberFormat="1" applyFont="1" applyFill="1" applyBorder="1"/>
    <xf numFmtId="0" fontId="136" fillId="34" borderId="51" xfId="0" applyFont="1" applyFill="1" applyBorder="1" applyAlignment="1">
      <alignment horizontal="left" vertical="center" wrapText="1"/>
    </xf>
    <xf numFmtId="3" fontId="132" fillId="34" borderId="51" xfId="0" applyNumberFormat="1" applyFont="1" applyFill="1" applyBorder="1" applyAlignment="1">
      <alignment horizontal="right" vertical="center" wrapText="1"/>
    </xf>
    <xf numFmtId="4" fontId="135" fillId="6" borderId="52" xfId="0" applyNumberFormat="1" applyFont="1" applyFill="1" applyBorder="1"/>
    <xf numFmtId="3" fontId="135" fillId="6" borderId="52" xfId="0" applyNumberFormat="1" applyFont="1" applyFill="1" applyBorder="1"/>
    <xf numFmtId="168" fontId="137" fillId="6" borderId="28" xfId="1" applyNumberFormat="1" applyFont="1" applyFill="1" applyBorder="1"/>
    <xf numFmtId="3" fontId="119" fillId="0" borderId="0" xfId="0" applyNumberFormat="1" applyFont="1" applyAlignment="1">
      <alignment horizontal="right" vertical="center"/>
    </xf>
    <xf numFmtId="0" fontId="24" fillId="0" borderId="0" xfId="35" applyFill="1" applyBorder="1"/>
    <xf numFmtId="3" fontId="24" fillId="0" borderId="0" xfId="35" applyNumberFormat="1" applyFill="1" applyBorder="1"/>
    <xf numFmtId="0" fontId="138" fillId="0" borderId="0" xfId="72" applyFont="1"/>
    <xf numFmtId="0" fontId="0" fillId="0" borderId="0" xfId="0" applyAlignment="1">
      <alignment horizontal="left" indent="1"/>
    </xf>
    <xf numFmtId="10" fontId="0" fillId="0" borderId="0" xfId="0" applyNumberFormat="1"/>
    <xf numFmtId="10" fontId="0" fillId="0" borderId="0" xfId="0" applyNumberFormat="1" applyAlignment="1">
      <alignment vertical="top"/>
    </xf>
    <xf numFmtId="0" fontId="32" fillId="0" borderId="0" xfId="38" applyAlignment="1">
      <alignment wrapText="1"/>
    </xf>
    <xf numFmtId="0" fontId="24" fillId="0" borderId="0" xfId="0" applyFont="1" applyAlignment="1">
      <alignment vertical="top" wrapText="1"/>
    </xf>
    <xf numFmtId="166" fontId="14" fillId="0" borderId="0" xfId="0" applyNumberFormat="1" applyFont="1"/>
    <xf numFmtId="0" fontId="140" fillId="4" borderId="53" xfId="75" applyFill="1"/>
    <xf numFmtId="0" fontId="80" fillId="26" borderId="0" xfId="0" applyFont="1" applyFill="1"/>
    <xf numFmtId="3" fontId="139" fillId="2" borderId="0" xfId="74" applyNumberFormat="1"/>
    <xf numFmtId="0" fontId="80" fillId="26" borderId="0" xfId="0" applyFont="1" applyFill="1" applyAlignment="1">
      <alignment vertical="top"/>
    </xf>
    <xf numFmtId="0" fontId="0" fillId="26" borderId="0" xfId="0" applyFill="1"/>
    <xf numFmtId="0" fontId="141" fillId="17" borderId="6" xfId="37" applyFont="1" applyFill="1" applyBorder="1" applyAlignment="1">
      <alignment wrapText="1"/>
    </xf>
    <xf numFmtId="3" fontId="141" fillId="0" borderId="41" xfId="0" applyNumberFormat="1" applyFont="1" applyBorder="1"/>
    <xf numFmtId="0" fontId="142" fillId="0" borderId="39" xfId="0" applyFont="1" applyBorder="1"/>
    <xf numFmtId="0" fontId="143" fillId="0" borderId="6" xfId="0" applyFont="1" applyBorder="1"/>
    <xf numFmtId="3" fontId="141" fillId="17" borderId="6" xfId="0" applyNumberFormat="1" applyFont="1" applyFill="1" applyBorder="1"/>
    <xf numFmtId="3" fontId="144" fillId="0" borderId="40" xfId="0" applyNumberFormat="1" applyFont="1" applyBorder="1"/>
    <xf numFmtId="4" fontId="20" fillId="0" borderId="0" xfId="9" applyNumberFormat="1"/>
    <xf numFmtId="9" fontId="145" fillId="0" borderId="0" xfId="1" applyFont="1" applyAlignment="1">
      <alignment horizontal="left"/>
    </xf>
    <xf numFmtId="0" fontId="24" fillId="0" borderId="0" xfId="37" applyFont="1" applyFill="1" applyAlignment="1">
      <alignment wrapText="1"/>
    </xf>
    <xf numFmtId="10" fontId="20" fillId="0" borderId="0" xfId="1" applyNumberFormat="1" applyFont="1"/>
    <xf numFmtId="0" fontId="146" fillId="0" borderId="0" xfId="0" applyFont="1"/>
    <xf numFmtId="0" fontId="31" fillId="13" borderId="0" xfId="0" applyFont="1" applyFill="1"/>
    <xf numFmtId="0" fontId="24" fillId="7" borderId="0" xfId="65" applyFont="1" applyFill="1"/>
    <xf numFmtId="0" fontId="59" fillId="11" borderId="0" xfId="0" applyFont="1" applyFill="1"/>
    <xf numFmtId="0" fontId="62" fillId="11" borderId="0" xfId="0" applyFont="1" applyFill="1"/>
    <xf numFmtId="0" fontId="0" fillId="11" borderId="0" xfId="0" applyFill="1"/>
    <xf numFmtId="3" fontId="99" fillId="17" borderId="6" xfId="0" applyNumberFormat="1" applyFont="1" applyFill="1" applyBorder="1"/>
    <xf numFmtId="3" fontId="51" fillId="17" borderId="40" xfId="0" applyNumberFormat="1" applyFont="1" applyFill="1" applyBorder="1"/>
    <xf numFmtId="3" fontId="24" fillId="12" borderId="55" xfId="0" applyNumberFormat="1" applyFont="1" applyFill="1" applyBorder="1"/>
    <xf numFmtId="3" fontId="51" fillId="17" borderId="6" xfId="0" applyNumberFormat="1" applyFont="1" applyFill="1" applyBorder="1"/>
    <xf numFmtId="0" fontId="121" fillId="17" borderId="54" xfId="65" applyFont="1" applyFill="1" applyBorder="1" applyAlignment="1">
      <alignment wrapText="1"/>
    </xf>
    <xf numFmtId="0" fontId="121" fillId="17" borderId="54" xfId="65" applyFont="1" applyFill="1" applyBorder="1" applyAlignment="1">
      <alignment horizontal="right" wrapText="1"/>
    </xf>
    <xf numFmtId="0" fontId="147" fillId="17" borderId="54" xfId="65" applyFont="1" applyFill="1" applyBorder="1" applyAlignment="1">
      <alignment horizontal="left" wrapText="1"/>
    </xf>
    <xf numFmtId="3" fontId="49" fillId="12" borderId="55" xfId="0" applyNumberFormat="1" applyFont="1" applyFill="1" applyBorder="1"/>
    <xf numFmtId="3" fontId="84" fillId="0" borderId="6" xfId="0" applyNumberFormat="1" applyFont="1" applyBorder="1"/>
    <xf numFmtId="3" fontId="148" fillId="0" borderId="6" xfId="0" applyNumberFormat="1" applyFont="1" applyBorder="1"/>
    <xf numFmtId="0" fontId="24" fillId="12" borderId="6" xfId="65" applyFont="1" applyFill="1" applyBorder="1" applyAlignment="1">
      <alignment horizontal="right"/>
    </xf>
    <xf numFmtId="0" fontId="49" fillId="12" borderId="6" xfId="65" applyFont="1" applyFill="1" applyBorder="1" applyAlignment="1">
      <alignment horizontal="right"/>
    </xf>
    <xf numFmtId="0" fontId="24" fillId="17" borderId="42" xfId="0" applyFont="1" applyFill="1" applyBorder="1" applyAlignment="1">
      <alignment wrapText="1"/>
    </xf>
    <xf numFmtId="0" fontId="24" fillId="17" borderId="36" xfId="65" applyFont="1" applyFill="1" applyBorder="1" applyAlignment="1">
      <alignment wrapText="1"/>
    </xf>
    <xf numFmtId="0" fontId="24" fillId="17" borderId="43" xfId="65" applyFont="1" applyFill="1" applyBorder="1" applyAlignment="1">
      <alignment wrapText="1"/>
    </xf>
    <xf numFmtId="0" fontId="24" fillId="0" borderId="56" xfId="65" applyFont="1" applyFill="1" applyBorder="1"/>
    <xf numFmtId="0" fontId="49" fillId="0" borderId="56" xfId="65" applyFont="1" applyFill="1" applyBorder="1"/>
    <xf numFmtId="3" fontId="51" fillId="12" borderId="57" xfId="0" applyNumberFormat="1" applyFont="1" applyFill="1" applyBorder="1"/>
    <xf numFmtId="0" fontId="24" fillId="0" borderId="58" xfId="65" applyFont="1" applyFill="1" applyBorder="1"/>
    <xf numFmtId="3" fontId="24" fillId="12" borderId="35" xfId="0" applyNumberFormat="1" applyFont="1" applyFill="1" applyBorder="1"/>
    <xf numFmtId="3" fontId="24" fillId="12" borderId="59" xfId="0" applyNumberFormat="1" applyFont="1" applyFill="1" applyBorder="1"/>
    <xf numFmtId="0" fontId="31" fillId="6" borderId="0" xfId="0" applyFont="1" applyFill="1"/>
    <xf numFmtId="0" fontId="34" fillId="6" borderId="0" xfId="0" applyFont="1" applyFill="1"/>
    <xf numFmtId="0" fontId="32" fillId="6" borderId="0" xfId="38" applyFill="1"/>
    <xf numFmtId="0" fontId="94" fillId="6" borderId="0" xfId="0" applyFont="1" applyFill="1" applyAlignment="1">
      <alignment horizontal="right"/>
    </xf>
    <xf numFmtId="0" fontId="94" fillId="6" borderId="10" xfId="0" applyFont="1" applyFill="1" applyBorder="1"/>
    <xf numFmtId="0" fontId="142" fillId="6" borderId="39" xfId="0" applyFont="1" applyFill="1" applyBorder="1"/>
    <xf numFmtId="0" fontId="48" fillId="6" borderId="0" xfId="0" applyFont="1" applyFill="1"/>
    <xf numFmtId="0" fontId="88" fillId="6" borderId="0" xfId="0" applyFont="1" applyFill="1"/>
    <xf numFmtId="0" fontId="24" fillId="6" borderId="0" xfId="0" applyFont="1" applyFill="1"/>
    <xf numFmtId="0" fontId="143" fillId="6" borderId="6" xfId="0" applyFont="1" applyFill="1" applyBorder="1"/>
    <xf numFmtId="0" fontId="86" fillId="6" borderId="0" xfId="0" applyFont="1" applyFill="1"/>
    <xf numFmtId="0" fontId="24" fillId="12" borderId="41" xfId="65" applyFont="1" applyFill="1" applyBorder="1" applyAlignment="1">
      <alignment horizontal="right"/>
    </xf>
    <xf numFmtId="0" fontId="49" fillId="6" borderId="0" xfId="65" applyFont="1" applyFill="1" applyBorder="1" applyAlignment="1">
      <alignment horizontal="right"/>
    </xf>
    <xf numFmtId="3" fontId="51" fillId="6" borderId="10" xfId="0" applyNumberFormat="1" applyFont="1" applyFill="1" applyBorder="1"/>
    <xf numFmtId="3" fontId="144" fillId="6" borderId="40" xfId="0" applyNumberFormat="1" applyFont="1" applyFill="1" applyBorder="1"/>
    <xf numFmtId="0" fontId="85" fillId="6" borderId="0" xfId="0" applyFont="1" applyFill="1"/>
    <xf numFmtId="4" fontId="101" fillId="6" borderId="0" xfId="0" applyNumberFormat="1" applyFont="1" applyFill="1" applyAlignment="1">
      <alignment vertical="top"/>
    </xf>
    <xf numFmtId="0" fontId="120" fillId="6" borderId="0" xfId="0" applyFont="1" applyFill="1" applyAlignment="1">
      <alignment vertical="top"/>
    </xf>
    <xf numFmtId="0" fontId="93" fillId="6" borderId="0" xfId="0" applyFont="1" applyFill="1" applyAlignment="1">
      <alignment vertical="top"/>
    </xf>
    <xf numFmtId="3" fontId="100" fillId="6" borderId="0" xfId="0" applyNumberFormat="1" applyFont="1" applyFill="1"/>
    <xf numFmtId="0" fontId="101" fillId="6" borderId="0" xfId="0" applyFont="1" applyFill="1" applyAlignment="1">
      <alignment vertical="top"/>
    </xf>
    <xf numFmtId="0" fontId="89" fillId="6" borderId="0" xfId="38" applyFont="1" applyFill="1"/>
    <xf numFmtId="0" fontId="0" fillId="6" borderId="0" xfId="0" applyFill="1" applyAlignment="1">
      <alignment vertical="top"/>
    </xf>
    <xf numFmtId="0" fontId="89" fillId="6" borderId="0" xfId="38" applyFont="1" applyFill="1" applyAlignment="1"/>
    <xf numFmtId="0" fontId="83" fillId="6" borderId="0" xfId="0" applyFont="1" applyFill="1"/>
    <xf numFmtId="0" fontId="49" fillId="6" borderId="0" xfId="37" applyFont="1" applyFill="1"/>
    <xf numFmtId="3" fontId="83" fillId="6" borderId="0" xfId="0" applyNumberFormat="1" applyFont="1" applyFill="1"/>
    <xf numFmtId="0" fontId="90" fillId="6" borderId="0" xfId="0" applyFont="1" applyFill="1" applyAlignment="1">
      <alignment vertical="top"/>
    </xf>
    <xf numFmtId="0" fontId="91" fillId="6" borderId="0" xfId="0" applyFont="1" applyFill="1" applyAlignment="1">
      <alignment vertical="top"/>
    </xf>
    <xf numFmtId="0" fontId="49" fillId="12" borderId="56" xfId="65" applyFont="1" applyFill="1" applyBorder="1" applyAlignment="1">
      <alignment horizontal="right"/>
    </xf>
    <xf numFmtId="0" fontId="24" fillId="12" borderId="58" xfId="65" applyFont="1" applyFill="1" applyBorder="1" applyAlignment="1">
      <alignment horizontal="right"/>
    </xf>
    <xf numFmtId="3" fontId="26" fillId="6" borderId="0" xfId="33" applyNumberFormat="1" applyFill="1" applyBorder="1"/>
    <xf numFmtId="0" fontId="0" fillId="36" borderId="0" xfId="0" applyFill="1"/>
    <xf numFmtId="3" fontId="0" fillId="6" borderId="0" xfId="0" applyNumberFormat="1" applyFill="1"/>
    <xf numFmtId="0" fontId="149" fillId="37" borderId="42" xfId="0" applyFont="1" applyFill="1" applyBorder="1" applyAlignment="1">
      <alignment vertical="center"/>
    </xf>
    <xf numFmtId="0" fontId="22" fillId="38" borderId="0" xfId="0" applyFont="1" applyFill="1"/>
    <xf numFmtId="0" fontId="25" fillId="39" borderId="56" xfId="0" applyFont="1" applyFill="1" applyBorder="1"/>
    <xf numFmtId="0" fontId="25" fillId="39" borderId="0" xfId="0" applyFont="1" applyFill="1"/>
    <xf numFmtId="0" fontId="25" fillId="39" borderId="57" xfId="0" applyFont="1" applyFill="1" applyBorder="1"/>
    <xf numFmtId="0" fontId="149" fillId="37" borderId="17" xfId="0" applyFont="1" applyFill="1" applyBorder="1" applyAlignment="1">
      <alignment vertical="center"/>
    </xf>
    <xf numFmtId="0" fontId="53" fillId="37" borderId="7" xfId="0" applyFont="1" applyFill="1" applyBorder="1" applyAlignment="1">
      <alignment horizontal="right"/>
    </xf>
    <xf numFmtId="0" fontId="53" fillId="37" borderId="7" xfId="0" applyFont="1" applyFill="1" applyBorder="1" applyAlignment="1">
      <alignment horizontal="right" wrapText="1"/>
    </xf>
    <xf numFmtId="0" fontId="22" fillId="37" borderId="29" xfId="0" applyFont="1" applyFill="1" applyBorder="1"/>
    <xf numFmtId="0" fontId="112" fillId="37" borderId="8" xfId="0" applyFont="1" applyFill="1" applyBorder="1" applyAlignment="1">
      <alignment wrapText="1"/>
    </xf>
    <xf numFmtId="3" fontId="112" fillId="37" borderId="0" xfId="0" applyNumberFormat="1" applyFont="1" applyFill="1"/>
    <xf numFmtId="3" fontId="112" fillId="37" borderId="0" xfId="0" applyNumberFormat="1" applyFont="1" applyFill="1" applyAlignment="1">
      <alignment wrapText="1"/>
    </xf>
    <xf numFmtId="0" fontId="112" fillId="37" borderId="19" xfId="0" applyFont="1" applyFill="1" applyBorder="1"/>
    <xf numFmtId="0" fontId="112" fillId="37" borderId="0" xfId="0" applyFont="1" applyFill="1"/>
    <xf numFmtId="0" fontId="22" fillId="37" borderId="19" xfId="0" applyFont="1" applyFill="1" applyBorder="1"/>
    <xf numFmtId="0" fontId="112" fillId="37" borderId="9" xfId="0" applyFont="1" applyFill="1" applyBorder="1" applyAlignment="1">
      <alignment wrapText="1"/>
    </xf>
    <xf numFmtId="0" fontId="112" fillId="37" borderId="10" xfId="0" applyFont="1" applyFill="1" applyBorder="1"/>
    <xf numFmtId="3" fontId="112" fillId="37" borderId="10" xfId="0" applyNumberFormat="1" applyFont="1" applyFill="1" applyBorder="1"/>
    <xf numFmtId="0" fontId="53" fillId="37" borderId="8" xfId="0" applyFont="1" applyFill="1" applyBorder="1" applyAlignment="1">
      <alignment wrapText="1"/>
    </xf>
    <xf numFmtId="3" fontId="53" fillId="37" borderId="0" xfId="0" applyNumberFormat="1" applyFont="1" applyFill="1"/>
    <xf numFmtId="0" fontId="22" fillId="37" borderId="9" xfId="0" applyFont="1" applyFill="1" applyBorder="1"/>
    <xf numFmtId="0" fontId="22" fillId="37" borderId="10" xfId="0" applyFont="1" applyFill="1" applyBorder="1"/>
    <xf numFmtId="0" fontId="22" fillId="37" borderId="20" xfId="0" applyFont="1" applyFill="1" applyBorder="1"/>
    <xf numFmtId="0" fontId="112" fillId="40" borderId="42" xfId="0" applyFont="1" applyFill="1" applyBorder="1" applyAlignment="1">
      <alignment wrapText="1"/>
    </xf>
    <xf numFmtId="0" fontId="112" fillId="40" borderId="36" xfId="0" applyFont="1" applyFill="1" applyBorder="1"/>
    <xf numFmtId="0" fontId="22" fillId="40" borderId="43" xfId="0" applyFont="1" applyFill="1" applyBorder="1"/>
    <xf numFmtId="0" fontId="112" fillId="40" borderId="56" xfId="0" applyFont="1" applyFill="1" applyBorder="1" applyAlignment="1">
      <alignment wrapText="1"/>
    </xf>
    <xf numFmtId="0" fontId="112" fillId="40" borderId="0" xfId="0" applyFont="1" applyFill="1"/>
    <xf numFmtId="0" fontId="22" fillId="40" borderId="57" xfId="0" applyFont="1" applyFill="1" applyBorder="1"/>
    <xf numFmtId="3" fontId="112" fillId="40" borderId="0" xfId="0" applyNumberFormat="1" applyFont="1" applyFill="1"/>
    <xf numFmtId="0" fontId="53" fillId="40" borderId="56" xfId="0" applyFont="1" applyFill="1" applyBorder="1" applyAlignment="1">
      <alignment wrapText="1"/>
    </xf>
    <xf numFmtId="0" fontId="53" fillId="40" borderId="0" xfId="0" applyFont="1" applyFill="1"/>
    <xf numFmtId="3" fontId="53" fillId="40" borderId="0" xfId="0" applyNumberFormat="1" applyFont="1" applyFill="1"/>
    <xf numFmtId="0" fontId="112" fillId="40" borderId="56" xfId="0" applyFont="1" applyFill="1" applyBorder="1"/>
    <xf numFmtId="0" fontId="53" fillId="40" borderId="60" xfId="0" applyFont="1" applyFill="1" applyBorder="1"/>
    <xf numFmtId="3" fontId="53" fillId="40" borderId="10" xfId="0" applyNumberFormat="1" applyFont="1" applyFill="1" applyBorder="1"/>
    <xf numFmtId="0" fontId="22" fillId="40" borderId="44" xfId="0" applyFont="1" applyFill="1" applyBorder="1"/>
    <xf numFmtId="0" fontId="22" fillId="40" borderId="28" xfId="0" applyFont="1" applyFill="1" applyBorder="1"/>
    <xf numFmtId="0" fontId="22" fillId="40" borderId="45" xfId="0" applyFont="1" applyFill="1" applyBorder="1"/>
    <xf numFmtId="175" fontId="55" fillId="0" borderId="0" xfId="1" applyNumberFormat="1" applyFont="1" applyFill="1" applyBorder="1"/>
    <xf numFmtId="0" fontId="53" fillId="25" borderId="4" xfId="0" applyFont="1" applyFill="1" applyBorder="1" applyAlignment="1">
      <alignment horizontal="right"/>
    </xf>
    <xf numFmtId="3" fontId="0" fillId="28" borderId="0" xfId="0" applyNumberFormat="1" applyFill="1"/>
    <xf numFmtId="0" fontId="1" fillId="0" borderId="15" xfId="35" applyFont="1"/>
    <xf numFmtId="3" fontId="1" fillId="0" borderId="15" xfId="35" applyNumberFormat="1" applyFont="1"/>
    <xf numFmtId="0" fontId="150" fillId="0" borderId="0" xfId="0" applyFont="1"/>
    <xf numFmtId="0" fontId="150" fillId="0" borderId="0" xfId="0" applyFont="1" applyAlignment="1">
      <alignment vertical="center" wrapText="1"/>
    </xf>
    <xf numFmtId="0" fontId="1" fillId="0" borderId="0" xfId="0" applyFont="1"/>
    <xf numFmtId="14" fontId="1" fillId="0" borderId="0" xfId="0" applyNumberFormat="1" applyFont="1"/>
    <xf numFmtId="0" fontId="1" fillId="0" borderId="0" xfId="0" applyFont="1" applyAlignment="1">
      <alignment wrapText="1"/>
    </xf>
    <xf numFmtId="0" fontId="1" fillId="26" borderId="0" xfId="0" applyFont="1" applyFill="1"/>
    <xf numFmtId="0" fontId="1" fillId="25" borderId="0" xfId="0" applyFont="1" applyFill="1"/>
    <xf numFmtId="3" fontId="1" fillId="12" borderId="0" xfId="0" applyNumberFormat="1" applyFont="1" applyFill="1"/>
    <xf numFmtId="3" fontId="1" fillId="0" borderId="0" xfId="0" applyNumberFormat="1" applyFont="1"/>
    <xf numFmtId="3" fontId="1" fillId="12" borderId="57" xfId="0" applyNumberFormat="1" applyFont="1" applyFill="1" applyBorder="1"/>
    <xf numFmtId="3" fontId="1" fillId="17" borderId="0" xfId="0" applyNumberFormat="1" applyFont="1" applyFill="1"/>
    <xf numFmtId="0" fontId="1" fillId="6" borderId="0" xfId="0" applyFont="1" applyFill="1"/>
    <xf numFmtId="0" fontId="1" fillId="17" borderId="0" xfId="0" applyFont="1" applyFill="1" applyAlignment="1">
      <alignment wrapText="1"/>
    </xf>
    <xf numFmtId="3" fontId="1" fillId="19" borderId="0" xfId="0" applyNumberFormat="1" applyFont="1" applyFill="1"/>
    <xf numFmtId="3" fontId="1" fillId="0" borderId="10" xfId="0" applyNumberFormat="1" applyFont="1" applyBorder="1"/>
    <xf numFmtId="3" fontId="1" fillId="7" borderId="0" xfId="0" applyNumberFormat="1" applyFont="1" applyFill="1"/>
    <xf numFmtId="0" fontId="1" fillId="0" borderId="10" xfId="0" applyFont="1" applyBorder="1"/>
    <xf numFmtId="3" fontId="1" fillId="6" borderId="0" xfId="37" applyNumberFormat="1" applyFont="1" applyFill="1"/>
    <xf numFmtId="9" fontId="1" fillId="6" borderId="0" xfId="1" applyFont="1" applyFill="1"/>
    <xf numFmtId="1" fontId="1" fillId="6" borderId="0" xfId="1" applyNumberFormat="1" applyFont="1" applyFill="1"/>
    <xf numFmtId="3" fontId="1" fillId="6" borderId="0" xfId="1" applyNumberFormat="1" applyFont="1" applyFill="1"/>
    <xf numFmtId="3" fontId="1" fillId="6" borderId="25" xfId="37" applyNumberFormat="1" applyFont="1" applyFill="1" applyBorder="1"/>
    <xf numFmtId="9" fontId="1" fillId="6" borderId="25" xfId="1" applyFont="1" applyFill="1" applyBorder="1"/>
    <xf numFmtId="0" fontId="1" fillId="17" borderId="10" xfId="0" applyFont="1" applyFill="1" applyBorder="1" applyAlignment="1">
      <alignment wrapText="1"/>
    </xf>
    <xf numFmtId="10" fontId="1" fillId="0" borderId="19" xfId="1" applyNumberFormat="1" applyFont="1" applyBorder="1"/>
    <xf numFmtId="3" fontId="1" fillId="0" borderId="0" xfId="12" applyNumberFormat="1" applyFont="1"/>
    <xf numFmtId="9" fontId="1" fillId="0" borderId="19" xfId="1" applyFont="1" applyBorder="1"/>
    <xf numFmtId="10" fontId="1" fillId="12" borderId="19" xfId="1" applyNumberFormat="1" applyFont="1" applyFill="1" applyBorder="1"/>
    <xf numFmtId="10" fontId="1" fillId="17" borderId="0" xfId="1" applyNumberFormat="1" applyFont="1" applyFill="1" applyBorder="1"/>
    <xf numFmtId="10" fontId="1" fillId="0" borderId="23" xfId="1" applyNumberFormat="1" applyFont="1" applyFill="1" applyBorder="1"/>
    <xf numFmtId="3" fontId="1" fillId="0" borderId="19" xfId="0" applyNumberFormat="1" applyFont="1" applyBorder="1"/>
    <xf numFmtId="3" fontId="1" fillId="0" borderId="0" xfId="12" applyNumberFormat="1" applyFont="1" applyBorder="1"/>
    <xf numFmtId="0" fontId="1" fillId="0" borderId="8" xfId="0" applyFont="1" applyBorder="1"/>
    <xf numFmtId="0" fontId="1" fillId="0" borderId="19" xfId="0" applyFont="1" applyBorder="1"/>
    <xf numFmtId="0" fontId="1" fillId="0" borderId="23" xfId="0" applyFont="1" applyBorder="1"/>
    <xf numFmtId="0" fontId="1" fillId="0" borderId="4" xfId="0" applyFont="1" applyBorder="1"/>
    <xf numFmtId="4" fontId="1" fillId="0" borderId="0" xfId="0" applyNumberFormat="1" applyFont="1"/>
    <xf numFmtId="4" fontId="1" fillId="0" borderId="10" xfId="0" applyNumberFormat="1" applyFont="1" applyBorder="1"/>
    <xf numFmtId="1" fontId="1" fillId="0" borderId="0" xfId="0" applyNumberFormat="1" applyFont="1"/>
    <xf numFmtId="0" fontId="1" fillId="0" borderId="0" xfId="0" quotePrefix="1" applyFont="1"/>
    <xf numFmtId="10" fontId="1" fillId="0" borderId="0" xfId="1" applyNumberFormat="1" applyFont="1"/>
    <xf numFmtId="10" fontId="1" fillId="0" borderId="0" xfId="0" applyNumberFormat="1" applyFont="1"/>
    <xf numFmtId="9" fontId="1" fillId="0" borderId="0" xfId="1" applyFont="1"/>
    <xf numFmtId="171" fontId="1" fillId="0" borderId="0" xfId="0" applyNumberFormat="1" applyFont="1"/>
    <xf numFmtId="0" fontId="1" fillId="5" borderId="3" xfId="4" applyFont="1"/>
    <xf numFmtId="0" fontId="1" fillId="21" borderId="0" xfId="0" applyFont="1" applyFill="1"/>
    <xf numFmtId="0" fontId="1" fillId="28" borderId="0" xfId="0" applyFont="1" applyFill="1"/>
    <xf numFmtId="0" fontId="1" fillId="35" borderId="26" xfId="0" applyFont="1" applyFill="1" applyBorder="1"/>
    <xf numFmtId="0" fontId="1" fillId="35" borderId="27" xfId="0" applyFont="1" applyFill="1" applyBorder="1"/>
    <xf numFmtId="0" fontId="1" fillId="13" borderId="0" xfId="0" applyFont="1" applyFill="1"/>
    <xf numFmtId="10" fontId="55" fillId="13" borderId="0" xfId="1" applyNumberFormat="1" applyFont="1" applyFill="1" applyBorder="1"/>
    <xf numFmtId="2" fontId="55" fillId="0" borderId="28" xfId="0" applyNumberFormat="1" applyFont="1" applyBorder="1"/>
    <xf numFmtId="179" fontId="50" fillId="0" borderId="0" xfId="0" applyNumberFormat="1" applyFont="1"/>
    <xf numFmtId="179" fontId="54" fillId="0" borderId="0" xfId="0" applyNumberFormat="1" applyFont="1"/>
    <xf numFmtId="172" fontId="53" fillId="0" borderId="0" xfId="0" applyNumberFormat="1" applyFont="1"/>
    <xf numFmtId="175" fontId="55" fillId="0" borderId="7" xfId="1" applyNumberFormat="1" applyFont="1" applyFill="1" applyBorder="1"/>
    <xf numFmtId="0" fontId="106" fillId="0" borderId="28" xfId="0" applyFont="1" applyBorder="1"/>
    <xf numFmtId="0" fontId="50" fillId="0" borderId="28" xfId="0" applyFont="1" applyBorder="1"/>
    <xf numFmtId="0" fontId="50" fillId="0" borderId="34" xfId="0" applyFont="1" applyBorder="1"/>
    <xf numFmtId="0" fontId="50" fillId="0" borderId="34" xfId="0" applyFont="1" applyBorder="1" applyAlignment="1">
      <alignment horizontal="right"/>
    </xf>
    <xf numFmtId="2" fontId="50" fillId="0" borderId="0" xfId="0" applyNumberFormat="1" applyFont="1"/>
    <xf numFmtId="2" fontId="16" fillId="0" borderId="0" xfId="23" applyNumberFormat="1" applyFont="1"/>
    <xf numFmtId="180" fontId="50" fillId="0" borderId="0" xfId="0" applyNumberFormat="1" applyFont="1"/>
    <xf numFmtId="4" fontId="54" fillId="0" borderId="28" xfId="0" applyNumberFormat="1" applyFont="1" applyBorder="1"/>
    <xf numFmtId="2" fontId="54" fillId="0" borderId="28" xfId="0" applyNumberFormat="1" applyFont="1" applyBorder="1"/>
    <xf numFmtId="2" fontId="55" fillId="0" borderId="28" xfId="23" applyNumberFormat="1" applyFont="1" applyBorder="1"/>
    <xf numFmtId="176" fontId="54" fillId="0" borderId="28" xfId="0" applyNumberFormat="1" applyFont="1" applyBorder="1"/>
    <xf numFmtId="181" fontId="54" fillId="0" borderId="28" xfId="0" applyNumberFormat="1" applyFont="1" applyBorder="1"/>
    <xf numFmtId="181" fontId="55" fillId="0" borderId="28" xfId="0" applyNumberFormat="1" applyFont="1" applyBorder="1"/>
    <xf numFmtId="0" fontId="20" fillId="0" borderId="0" xfId="0" applyFont="1" applyAlignment="1">
      <alignment horizontal="center" wrapText="1"/>
    </xf>
    <xf numFmtId="3" fontId="128" fillId="33" borderId="43" xfId="0" applyNumberFormat="1" applyFont="1" applyFill="1" applyBorder="1" applyAlignment="1">
      <alignment horizontal="center" vertical="center" wrapText="1"/>
    </xf>
    <xf numFmtId="3" fontId="128" fillId="33" borderId="45" xfId="0" applyNumberFormat="1" applyFont="1" applyFill="1" applyBorder="1" applyAlignment="1">
      <alignment horizontal="center" vertical="center" wrapText="1"/>
    </xf>
    <xf numFmtId="0" fontId="49" fillId="33" borderId="42" xfId="0" applyFont="1" applyFill="1" applyBorder="1" applyAlignment="1">
      <alignment horizontal="left" vertical="top" wrapText="1"/>
    </xf>
    <xf numFmtId="0" fontId="49" fillId="33" borderId="44" xfId="0" applyFont="1" applyFill="1" applyBorder="1" applyAlignment="1">
      <alignment horizontal="left" vertical="top" wrapText="1"/>
    </xf>
    <xf numFmtId="0" fontId="26" fillId="18" borderId="0" xfId="0" applyFont="1" applyFill="1" applyAlignment="1">
      <alignment horizontal="center"/>
    </xf>
    <xf numFmtId="0" fontId="24" fillId="18" borderId="0" xfId="0" applyFont="1" applyFill="1" applyAlignment="1">
      <alignment horizontal="center"/>
    </xf>
    <xf numFmtId="0" fontId="112" fillId="0" borderId="0" xfId="0" applyFont="1"/>
    <xf numFmtId="0" fontId="50" fillId="0" borderId="0" xfId="0" applyFont="1" applyAlignment="1">
      <alignment horizontal="center"/>
    </xf>
    <xf numFmtId="0" fontId="50" fillId="0" borderId="34" xfId="0" applyFont="1" applyBorder="1" applyAlignment="1">
      <alignment horizontal="center"/>
    </xf>
    <xf numFmtId="0" fontId="50" fillId="0" borderId="10" xfId="0" applyFont="1" applyBorder="1" applyAlignment="1">
      <alignment horizontal="center"/>
    </xf>
    <xf numFmtId="0" fontId="95" fillId="13" borderId="0" xfId="0" applyFont="1" applyFill="1" applyAlignment="1">
      <alignment horizontal="center"/>
    </xf>
    <xf numFmtId="0" fontId="95" fillId="29" borderId="27" xfId="0" applyFont="1" applyFill="1" applyBorder="1" applyAlignment="1">
      <alignment horizontal="center"/>
    </xf>
    <xf numFmtId="0" fontId="14" fillId="24" borderId="0" xfId="0" applyFont="1" applyFill="1" applyAlignment="1">
      <alignment horizontal="left" vertical="top" wrapText="1"/>
    </xf>
    <xf numFmtId="0" fontId="0" fillId="28" borderId="0" xfId="0" applyFill="1" applyAlignment="1">
      <alignment horizontal="left" vertical="top" wrapText="1"/>
    </xf>
    <xf numFmtId="0" fontId="86" fillId="0" borderId="0" xfId="0" applyFont="1" applyAlignment="1">
      <alignment horizontal="center" wrapText="1"/>
    </xf>
    <xf numFmtId="0" fontId="32" fillId="28" borderId="0" xfId="38" applyFill="1" applyAlignment="1">
      <alignment horizontal="left" vertical="top" wrapText="1"/>
    </xf>
  </cellXfs>
  <cellStyles count="76">
    <cellStyle name="20 % - Dekorfärg4" xfId="36" builtinId="42"/>
    <cellStyle name="20 % - Dekorfärg5" xfId="37" builtinId="46"/>
    <cellStyle name="20 % - Dekorfärg5 2" xfId="65" xr:uid="{00000000-0005-0000-0000-000002000000}"/>
    <cellStyle name="Anteckning" xfId="4" builtinId="10"/>
    <cellStyle name="Beräkning" xfId="3" builtinId="22"/>
    <cellStyle name="Bra" xfId="74" builtinId="26"/>
    <cellStyle name="Bra 2" xfId="6" xr:uid="{00000000-0005-0000-0000-000005000000}"/>
    <cellStyle name="Förklarande text" xfId="34" builtinId="53"/>
    <cellStyle name="Hyperlänk" xfId="38" builtinId="8"/>
    <cellStyle name="Indata" xfId="2" builtinId="20"/>
    <cellStyle name="Kontrollcell" xfId="33" builtinId="23"/>
    <cellStyle name="Länkad cell" xfId="75" builtinId="24"/>
    <cellStyle name="Normaali 2" xfId="7" xr:uid="{00000000-0005-0000-0000-00000A000000}"/>
    <cellStyle name="Normaali 3" xfId="69" xr:uid="{00000000-0005-0000-0000-00000B000000}"/>
    <cellStyle name="Normaali_AT+POTVEROT" xfId="8" xr:uid="{00000000-0005-0000-0000-00000C000000}"/>
    <cellStyle name="Normal" xfId="0" builtinId="0"/>
    <cellStyle name="Normal 10" xfId="62" xr:uid="{00000000-0005-0000-0000-00000E000000}"/>
    <cellStyle name="Normal 11" xfId="63" xr:uid="{00000000-0005-0000-0000-00000F000000}"/>
    <cellStyle name="Normal 12" xfId="66" xr:uid="{00000000-0005-0000-0000-000010000000}"/>
    <cellStyle name="Normal 13" xfId="70" xr:uid="{00000000-0005-0000-0000-000011000000}"/>
    <cellStyle name="Normal 2" xfId="9" xr:uid="{00000000-0005-0000-0000-000012000000}"/>
    <cellStyle name="Normal 2 2" xfId="10" xr:uid="{00000000-0005-0000-0000-000013000000}"/>
    <cellStyle name="Normal 2 2 10" xfId="54" xr:uid="{00000000-0005-0000-0000-000014000000}"/>
    <cellStyle name="Normal 2 2 10 2" xfId="64" xr:uid="{00000000-0005-0000-0000-000015000000}"/>
    <cellStyle name="Normal 2 2 2" xfId="41" xr:uid="{00000000-0005-0000-0000-000016000000}"/>
    <cellStyle name="Normal 2 3" xfId="11" xr:uid="{00000000-0005-0000-0000-000017000000}"/>
    <cellStyle name="Normal 2 4" xfId="40" xr:uid="{00000000-0005-0000-0000-000018000000}"/>
    <cellStyle name="Normal 3" xfId="12" xr:uid="{00000000-0005-0000-0000-000019000000}"/>
    <cellStyle name="Normal 3 2" xfId="13" xr:uid="{00000000-0005-0000-0000-00001A000000}"/>
    <cellStyle name="Normal 3 2 2" xfId="14" xr:uid="{00000000-0005-0000-0000-00001B000000}"/>
    <cellStyle name="Normal 3 2 2 2" xfId="44" xr:uid="{00000000-0005-0000-0000-00001C000000}"/>
    <cellStyle name="Normal 3 2 2 3" xfId="57" xr:uid="{00000000-0005-0000-0000-00001D000000}"/>
    <cellStyle name="Normal 3 2 3" xfId="43" xr:uid="{00000000-0005-0000-0000-00001E000000}"/>
    <cellStyle name="Normal 3 2 4" xfId="56" xr:uid="{00000000-0005-0000-0000-00001F000000}"/>
    <cellStyle name="Normal 3 3" xfId="15" xr:uid="{00000000-0005-0000-0000-000020000000}"/>
    <cellStyle name="Normal 3 3 2" xfId="45" xr:uid="{00000000-0005-0000-0000-000021000000}"/>
    <cellStyle name="Normal 3 3 3" xfId="58" xr:uid="{00000000-0005-0000-0000-000022000000}"/>
    <cellStyle name="Normal 3 4" xfId="16" xr:uid="{00000000-0005-0000-0000-000023000000}"/>
    <cellStyle name="Normal 3 4 2" xfId="46" xr:uid="{00000000-0005-0000-0000-000024000000}"/>
    <cellStyle name="Normal 3 4 3" xfId="59" xr:uid="{00000000-0005-0000-0000-000025000000}"/>
    <cellStyle name="Normal 3 5" xfId="42" xr:uid="{00000000-0005-0000-0000-000026000000}"/>
    <cellStyle name="Normal 4" xfId="17" xr:uid="{00000000-0005-0000-0000-000027000000}"/>
    <cellStyle name="Normal 4 2" xfId="18" xr:uid="{00000000-0005-0000-0000-000028000000}"/>
    <cellStyle name="Normal 4 2 2" xfId="48" xr:uid="{00000000-0005-0000-0000-000029000000}"/>
    <cellStyle name="Normal 4 2 3" xfId="61" xr:uid="{00000000-0005-0000-0000-00002A000000}"/>
    <cellStyle name="Normal 4 3" xfId="47" xr:uid="{00000000-0005-0000-0000-00002B000000}"/>
    <cellStyle name="Normal 4 4" xfId="60" xr:uid="{00000000-0005-0000-0000-00002C000000}"/>
    <cellStyle name="Normal 5" xfId="19" xr:uid="{00000000-0005-0000-0000-00002D000000}"/>
    <cellStyle name="Normal 5 2" xfId="5" xr:uid="{00000000-0005-0000-0000-00002E000000}"/>
    <cellStyle name="Normal 5 3" xfId="49" xr:uid="{00000000-0005-0000-0000-00002F000000}"/>
    <cellStyle name="Normal 6" xfId="20" xr:uid="{00000000-0005-0000-0000-000030000000}"/>
    <cellStyle name="Normal 6 2" xfId="21" xr:uid="{00000000-0005-0000-0000-000031000000}"/>
    <cellStyle name="Normal 6 3" xfId="50" xr:uid="{00000000-0005-0000-0000-000032000000}"/>
    <cellStyle name="Normal 7" xfId="22" xr:uid="{00000000-0005-0000-0000-000033000000}"/>
    <cellStyle name="Normal 7 2" xfId="23" xr:uid="{00000000-0005-0000-0000-000034000000}"/>
    <cellStyle name="Normal 8" xfId="39" xr:uid="{00000000-0005-0000-0000-000035000000}"/>
    <cellStyle name="Normal 9" xfId="55" xr:uid="{00000000-0005-0000-0000-000036000000}"/>
    <cellStyle name="Procent" xfId="1" builtinId="5"/>
    <cellStyle name="Procent 2" xfId="24" xr:uid="{00000000-0005-0000-0000-000038000000}"/>
    <cellStyle name="Procent 2 2" xfId="25" xr:uid="{00000000-0005-0000-0000-000039000000}"/>
    <cellStyle name="Procent 2 3" xfId="51" xr:uid="{00000000-0005-0000-0000-00003A000000}"/>
    <cellStyle name="Procent 3" xfId="26" xr:uid="{00000000-0005-0000-0000-00003B000000}"/>
    <cellStyle name="Procent 4" xfId="27" xr:uid="{00000000-0005-0000-0000-00003C000000}"/>
    <cellStyle name="Procent 4 2" xfId="52" xr:uid="{00000000-0005-0000-0000-00003D000000}"/>
    <cellStyle name="Procent 5" xfId="28" xr:uid="{00000000-0005-0000-0000-00003E000000}"/>
    <cellStyle name="Procent 5 2" xfId="53" xr:uid="{00000000-0005-0000-0000-00003F000000}"/>
    <cellStyle name="Procent 6" xfId="68" xr:uid="{00000000-0005-0000-0000-000040000000}"/>
    <cellStyle name="Prosenttia 2" xfId="71" xr:uid="{00000000-0005-0000-0000-000041000000}"/>
    <cellStyle name="Rubrik" xfId="72" builtinId="15"/>
    <cellStyle name="Rubrik 3 2" xfId="29" xr:uid="{00000000-0005-0000-0000-000043000000}"/>
    <cellStyle name="Rubrik 4" xfId="73" builtinId="19"/>
    <cellStyle name="Summa" xfId="35" builtinId="25"/>
    <cellStyle name="Tusental" xfId="32" builtinId="3"/>
    <cellStyle name="Tusental 2" xfId="30" xr:uid="{00000000-0005-0000-0000-000047000000}"/>
    <cellStyle name="Tusental 3" xfId="31" xr:uid="{00000000-0005-0000-0000-000048000000}"/>
    <cellStyle name="Tusental 4" xfId="67" xr:uid="{00000000-0005-0000-0000-000049000000}"/>
  </cellStyles>
  <dxfs count="12">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u val="none"/>
      </font>
      <fill>
        <patternFill>
          <bgColor rgb="FFE1EDE1"/>
        </patternFill>
      </fill>
    </dxf>
    <dxf>
      <font>
        <b val="0"/>
        <i val="0"/>
      </font>
      <fill>
        <patternFill>
          <bgColor rgb="FFE1EDE1"/>
        </patternFill>
      </fill>
    </dxf>
    <dxf>
      <font>
        <b/>
        <i val="0"/>
      </font>
    </dxf>
    <dxf>
      <font>
        <b val="0"/>
        <i val="0"/>
      </font>
    </dxf>
    <dxf>
      <font>
        <b/>
        <i val="0"/>
      </font>
      <border>
        <top style="medium">
          <color rgb="FF659B7D"/>
        </top>
        <bottom style="medium">
          <color rgb="FF659B7D"/>
        </bottom>
      </border>
    </dxf>
    <dxf>
      <font>
        <b/>
        <i val="0"/>
      </font>
      <fill>
        <patternFill>
          <bgColor rgb="FFC2D8CC"/>
        </patternFill>
      </fill>
      <border>
        <left/>
        <right/>
        <top style="medium">
          <color rgb="FF659B7D"/>
        </top>
        <bottom style="medium">
          <color rgb="FF659B7D"/>
        </bottom>
      </border>
    </dxf>
    <dxf>
      <font>
        <b val="0"/>
        <i val="0"/>
      </font>
      <border>
        <left/>
        <right/>
        <top style="medium">
          <color rgb="FF659B7D"/>
        </top>
        <bottom style="medium">
          <color rgb="FF659B7D"/>
        </bottom>
      </border>
    </dxf>
  </dxfs>
  <tableStyles count="2" defaultTableStyle="TableStyleMedium2" defaultPivotStyle="PivotStyleLight16">
    <tableStyle name="PivotTable Style 1" table="0" count="6" xr9:uid="{00000000-0011-0000-FFFF-FFFF00000000}">
      <tableStyleElement type="wholeTable" dxfId="11"/>
      <tableStyleElement type="headerRow" dxfId="10"/>
      <tableStyleElement type="totalRow" dxfId="9"/>
      <tableStyleElement type="firstColumn" dxfId="8"/>
      <tableStyleElement type="lastColumn" dxfId="7"/>
      <tableStyleElement type="secondRowStripe" dxfId="6"/>
    </tableStyle>
    <tableStyle name="Vesa" table="0" count="1" xr9:uid="{00000000-0011-0000-FFFF-FFFF01000000}">
      <tableStyleElement type="wholeTable" dxfId="5"/>
    </tableStyle>
  </tableStyles>
  <colors>
    <mruColors>
      <color rgb="FFD3E3E5"/>
      <color rgb="FF456E73"/>
      <color rgb="FF273E4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Landskapsandelar 2023</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sv-FI"/>
        </a:p>
      </c:txPr>
    </c:title>
    <c:autoTitleDeleted val="0"/>
    <c:plotArea>
      <c:layout/>
      <c:pieChart>
        <c:varyColors val="1"/>
        <c:ser>
          <c:idx val="0"/>
          <c:order val="0"/>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D6C1-426B-B0B4-10A88C9DDD27}"/>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D6C1-426B-B0B4-10A88C9DDD27}"/>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D6C1-426B-B0B4-10A88C9DDD27}"/>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D6C1-426B-B0B4-10A88C9DDD27}"/>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D6C1-426B-B0B4-10A88C9DDD27}"/>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ADA3-4E25-A9BB-E4233C07E4C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sv-FI"/>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Statistik!$A$5:$A$10</c:f>
              <c:strCache>
                <c:ptCount val="4"/>
                <c:pt idx="0">
                  <c:v>Skattekomplettering</c:v>
                </c:pt>
                <c:pt idx="1">
                  <c:v>Bildningssektorn (grk+baom+str+spcfr+förb+grvx)</c:v>
                </c:pt>
                <c:pt idx="2">
                  <c:v>Socialvård (äldreomsorg+kst)</c:v>
                </c:pt>
                <c:pt idx="3">
                  <c:v>Kultur</c:v>
                </c:pt>
              </c:strCache>
            </c:strRef>
          </c:cat>
          <c:val>
            <c:numRef>
              <c:f>Statistik!$B$5:$B$10</c:f>
              <c:numCache>
                <c:formatCode>#,##0</c:formatCode>
                <c:ptCount val="6"/>
                <c:pt idx="0">
                  <c:v>15730465.460000001</c:v>
                </c:pt>
                <c:pt idx="1">
                  <c:v>13388406.5403</c:v>
                </c:pt>
                <c:pt idx="2">
                  <c:v>9185869.6400000006</c:v>
                </c:pt>
                <c:pt idx="3">
                  <c:v>497125.78</c:v>
                </c:pt>
              </c:numCache>
            </c:numRef>
          </c:val>
          <c:extLst>
            <c:ext xmlns:c16="http://schemas.microsoft.com/office/drawing/2014/chart" uri="{C3380CC4-5D6E-409C-BE32-E72D297353CC}">
              <c16:uniqueId val="{00000000-A961-4CFA-8FD5-171C65B77096}"/>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v-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sv-FI"/>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Landskapsandelar 2024</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sv-FI"/>
        </a:p>
      </c:txPr>
    </c:title>
    <c:autoTitleDeleted val="0"/>
    <c:plotArea>
      <c:layout>
        <c:manualLayout>
          <c:layoutTarget val="inner"/>
          <c:xMode val="edge"/>
          <c:yMode val="edge"/>
          <c:x val="0.1275094050743657"/>
          <c:y val="0.22799467774861479"/>
          <c:w val="0.39454527559055119"/>
          <c:h val="0.65757545931758532"/>
        </c:manualLayout>
      </c:layout>
      <c:pieChart>
        <c:varyColors val="1"/>
        <c:ser>
          <c:idx val="0"/>
          <c:order val="0"/>
          <c:tx>
            <c:strRef>
              <c:f>Statistik!$C$4</c:f>
              <c:strCache>
                <c:ptCount val="1"/>
                <c:pt idx="0">
                  <c:v>2024</c:v>
                </c:pt>
              </c:strCache>
            </c:strRef>
          </c:tx>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F86F-4FF5-A54B-F6D210B9DA01}"/>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F86F-4FF5-A54B-F6D210B9DA01}"/>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F86F-4FF5-A54B-F6D210B9DA01}"/>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F86F-4FF5-A54B-F6D210B9DA01}"/>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F86F-4FF5-A54B-F6D210B9DA01}"/>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F86F-4FF5-A54B-F6D210B9DA0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sv-FI"/>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Statistik!$A$5:$A$8</c:f>
              <c:strCache>
                <c:ptCount val="4"/>
                <c:pt idx="0">
                  <c:v>Skattekomplettering</c:v>
                </c:pt>
                <c:pt idx="1">
                  <c:v>Bildningssektorn (grk+baom+str+spcfr+förb+grvx)</c:v>
                </c:pt>
                <c:pt idx="2">
                  <c:v>Socialvård (äldreomsorg+kst)</c:v>
                </c:pt>
                <c:pt idx="3">
                  <c:v>Kultur</c:v>
                </c:pt>
              </c:strCache>
            </c:strRef>
          </c:cat>
          <c:val>
            <c:numRef>
              <c:f>Statistik!$C$5:$C$8</c:f>
              <c:numCache>
                <c:formatCode>#,##0</c:formatCode>
                <c:ptCount val="4"/>
                <c:pt idx="0">
                  <c:v>16920145.690000001</c:v>
                </c:pt>
                <c:pt idx="1">
                  <c:v>13933287.804499999</c:v>
                </c:pt>
                <c:pt idx="2">
                  <c:v>9759052.7899999991</c:v>
                </c:pt>
                <c:pt idx="3">
                  <c:v>519928.25</c:v>
                </c:pt>
              </c:numCache>
            </c:numRef>
          </c:val>
          <c:extLst>
            <c:ext xmlns:c16="http://schemas.microsoft.com/office/drawing/2014/chart" uri="{C3380CC4-5D6E-409C-BE32-E72D297353CC}">
              <c16:uniqueId val="{0000000C-F86F-4FF5-A54B-F6D210B9DA01}"/>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900" b="0" i="0" u="none" strike="noStrike" kern="1200" baseline="0">
              <a:solidFill>
                <a:schemeClr val="tx2"/>
              </a:solidFill>
              <a:latin typeface="+mn-lt"/>
              <a:ea typeface="+mn-ea"/>
              <a:cs typeface="+mn-cs"/>
            </a:defRPr>
          </a:pPr>
          <a:endParaRPr lang="sv-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sv-FI"/>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Kompletteringstal 2024 (medel 18-22)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FI"/>
        </a:p>
      </c:txPr>
    </c:title>
    <c:autoTitleDeleted val="0"/>
    <c:plotArea>
      <c:layout/>
      <c:lineChart>
        <c:grouping val="standard"/>
        <c:varyColors val="0"/>
        <c:ser>
          <c:idx val="0"/>
          <c:order val="0"/>
          <c:tx>
            <c:strRef>
              <c:f>'Skattekompl data'!$L$92</c:f>
              <c:strCache>
                <c:ptCount val="1"/>
                <c:pt idx="0">
                  <c:v>2024</c:v>
                </c:pt>
              </c:strCache>
            </c:strRef>
          </c:tx>
          <c:spPr>
            <a:ln w="28575" cap="rnd">
              <a:solidFill>
                <a:schemeClr val="accent1"/>
              </a:solidFill>
              <a:round/>
            </a:ln>
            <a:effectLst/>
          </c:spPr>
          <c:marker>
            <c:symbol val="none"/>
          </c:marker>
          <c:dLbls>
            <c:dLbl>
              <c:idx val="1"/>
              <c:layout>
                <c:manualLayout>
                  <c:x val="1.3888888888888888E-2"/>
                  <c:y val="5.26703651833254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6E-4E03-ABF6-5CEDA654282C}"/>
                </c:ext>
              </c:extLst>
            </c:dLbl>
            <c:dLbl>
              <c:idx val="2"/>
              <c:layout>
                <c:manualLayout>
                  <c:x val="-2.2222222222222272E-2"/>
                  <c:y val="-4.86187986307619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26E-4E03-ABF6-5CEDA654282C}"/>
                </c:ext>
              </c:extLst>
            </c:dLbl>
            <c:dLbl>
              <c:idx val="3"/>
              <c:layout>
                <c:manualLayout>
                  <c:x val="5.5555555555555558E-3"/>
                  <c:y val="6.48250648410158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26E-4E03-ABF6-5CEDA654282C}"/>
                </c:ext>
              </c:extLst>
            </c:dLbl>
            <c:dLbl>
              <c:idx val="4"/>
              <c:layout>
                <c:manualLayout>
                  <c:x val="-4.7222222222222276E-2"/>
                  <c:y val="-8.913446415639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26E-4E03-ABF6-5CEDA654282C}"/>
                </c:ext>
              </c:extLst>
            </c:dLbl>
            <c:dLbl>
              <c:idx val="5"/>
              <c:layout>
                <c:manualLayout>
                  <c:x val="-2.7777777777777828E-2"/>
                  <c:y val="-0.121546996576904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26E-4E03-ABF6-5CEDA654282C}"/>
                </c:ext>
              </c:extLst>
            </c:dLbl>
            <c:dLbl>
              <c:idx val="6"/>
              <c:layout>
                <c:manualLayout>
                  <c:x val="-5.5555555555555558E-3"/>
                  <c:y val="8.913446415639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6E-4E03-ABF6-5CEDA654282C}"/>
                </c:ext>
              </c:extLst>
            </c:dLbl>
            <c:dLbl>
              <c:idx val="7"/>
              <c:layout>
                <c:manualLayout>
                  <c:x val="3.888888888888889E-2"/>
                  <c:y val="9.31860307089603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26E-4E03-ABF6-5CEDA654282C}"/>
                </c:ext>
              </c:extLst>
            </c:dLbl>
            <c:dLbl>
              <c:idx val="8"/>
              <c:layout>
                <c:manualLayout>
                  <c:x val="-6.6666666666666763E-2"/>
                  <c:y val="-7.29281979461429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6E-4E03-ABF6-5CEDA654282C}"/>
                </c:ext>
              </c:extLst>
            </c:dLbl>
            <c:dLbl>
              <c:idx val="9"/>
              <c:layout>
                <c:manualLayout>
                  <c:x val="1.6666666666666666E-2"/>
                  <c:y val="6.88766313935793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6E-4E03-ABF6-5CEDA654282C}"/>
                </c:ext>
              </c:extLst>
            </c:dLbl>
            <c:dLbl>
              <c:idx val="10"/>
              <c:layout>
                <c:manualLayout>
                  <c:x val="-5.8333333333333334E-2"/>
                  <c:y val="-8.5082897603833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26E-4E03-ABF6-5CEDA654282C}"/>
                </c:ext>
              </c:extLst>
            </c:dLbl>
            <c:dLbl>
              <c:idx val="11"/>
              <c:layout>
                <c:manualLayout>
                  <c:x val="2.7777777777777776E-2"/>
                  <c:y val="7.29281979461428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6E-4E03-ABF6-5CEDA654282C}"/>
                </c:ext>
              </c:extLst>
            </c:dLbl>
            <c:dLbl>
              <c:idx val="12"/>
              <c:layout>
                <c:manualLayout>
                  <c:x val="-8.8888888888888892E-2"/>
                  <c:y val="-8.5082897603833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6E-4E03-ABF6-5CEDA654282C}"/>
                </c:ext>
              </c:extLst>
            </c:dLbl>
            <c:dLbl>
              <c:idx val="13"/>
              <c:layout>
                <c:manualLayout>
                  <c:x val="2.7777777777777779E-3"/>
                  <c:y val="4.8618798630761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6E-4E03-ABF6-5CEDA654282C}"/>
                </c:ext>
              </c:extLst>
            </c:dLbl>
            <c:dLbl>
              <c:idx val="14"/>
              <c:layout>
                <c:manualLayout>
                  <c:x val="5.5555555555554534E-3"/>
                  <c:y val="3.6464098973071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6E-4E03-ABF6-5CEDA654282C}"/>
                </c:ext>
              </c:extLst>
            </c:dLbl>
            <c:dLbl>
              <c:idx val="15"/>
              <c:layout>
                <c:manualLayout>
                  <c:x val="-2.7777777777777776E-2"/>
                  <c:y val="-8.50828976038333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6E-4E03-ABF6-5CEDA654282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'Skattekompl data'!$K$93:$K$108</c:f>
              <c:strCache>
                <c:ptCount val="16"/>
                <c:pt idx="0">
                  <c:v>Geta</c:v>
                </c:pt>
                <c:pt idx="1">
                  <c:v>Vårdö</c:v>
                </c:pt>
                <c:pt idx="2">
                  <c:v>Kökar</c:v>
                </c:pt>
                <c:pt idx="3">
                  <c:v>Hammarland</c:v>
                </c:pt>
                <c:pt idx="4">
                  <c:v>Eckerö</c:v>
                </c:pt>
                <c:pt idx="5">
                  <c:v>Sund</c:v>
                </c:pt>
                <c:pt idx="6">
                  <c:v>Finström</c:v>
                </c:pt>
                <c:pt idx="7">
                  <c:v>Föglö</c:v>
                </c:pt>
                <c:pt idx="8">
                  <c:v>Kumlinge</c:v>
                </c:pt>
                <c:pt idx="9">
                  <c:v>Lemland</c:v>
                </c:pt>
                <c:pt idx="10">
                  <c:v>Lumparland</c:v>
                </c:pt>
                <c:pt idx="11">
                  <c:v>Saltvik</c:v>
                </c:pt>
                <c:pt idx="12">
                  <c:v>Sottunga</c:v>
                </c:pt>
                <c:pt idx="13">
                  <c:v>Jomala</c:v>
                </c:pt>
                <c:pt idx="14">
                  <c:v>Mariehamn</c:v>
                </c:pt>
                <c:pt idx="15">
                  <c:v>Brändö</c:v>
                </c:pt>
              </c:strCache>
            </c:strRef>
          </c:cat>
          <c:val>
            <c:numRef>
              <c:f>'Skattekompl data'!$L$93:$L$108</c:f>
              <c:numCache>
                <c:formatCode>#,##0</c:formatCode>
                <c:ptCount val="16"/>
                <c:pt idx="0">
                  <c:v>12413.675415402935</c:v>
                </c:pt>
                <c:pt idx="1">
                  <c:v>15641.059563195227</c:v>
                </c:pt>
                <c:pt idx="2">
                  <c:v>15938.534899099508</c:v>
                </c:pt>
                <c:pt idx="3">
                  <c:v>16141.208044191555</c:v>
                </c:pt>
                <c:pt idx="4">
                  <c:v>16943.582190936711</c:v>
                </c:pt>
                <c:pt idx="5">
                  <c:v>17519.356585053923</c:v>
                </c:pt>
                <c:pt idx="6">
                  <c:v>18356.860685271688</c:v>
                </c:pt>
                <c:pt idx="7">
                  <c:v>18634.848765937106</c:v>
                </c:pt>
                <c:pt idx="8">
                  <c:v>18824.798210011511</c:v>
                </c:pt>
                <c:pt idx="9">
                  <c:v>19289.306691347498</c:v>
                </c:pt>
                <c:pt idx="10">
                  <c:v>19458.944514879477</c:v>
                </c:pt>
                <c:pt idx="11">
                  <c:v>20082.028063314985</c:v>
                </c:pt>
                <c:pt idx="12">
                  <c:v>20222.399027952906</c:v>
                </c:pt>
                <c:pt idx="13">
                  <c:v>21459.237836267275</c:v>
                </c:pt>
                <c:pt idx="14">
                  <c:v>24410.493915329593</c:v>
                </c:pt>
                <c:pt idx="15">
                  <c:v>24808.268724193109</c:v>
                </c:pt>
              </c:numCache>
            </c:numRef>
          </c:val>
          <c:smooth val="0"/>
          <c:extLst>
            <c:ext xmlns:c16="http://schemas.microsoft.com/office/drawing/2014/chart" uri="{C3380CC4-5D6E-409C-BE32-E72D297353CC}">
              <c16:uniqueId val="{00000000-F26E-4E03-ABF6-5CEDA654282C}"/>
            </c:ext>
          </c:extLst>
        </c:ser>
        <c:dLbls>
          <c:showLegendKey val="0"/>
          <c:showVal val="0"/>
          <c:showCatName val="0"/>
          <c:showSerName val="0"/>
          <c:showPercent val="0"/>
          <c:showBubbleSize val="0"/>
        </c:dLbls>
        <c:smooth val="0"/>
        <c:axId val="525397440"/>
        <c:axId val="525392520"/>
      </c:lineChart>
      <c:catAx>
        <c:axId val="525397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FI"/>
          </a:p>
        </c:txPr>
        <c:crossAx val="525392520"/>
        <c:crosses val="autoZero"/>
        <c:auto val="1"/>
        <c:lblAlgn val="ctr"/>
        <c:lblOffset val="100"/>
        <c:noMultiLvlLbl val="0"/>
      </c:catAx>
      <c:valAx>
        <c:axId val="525392520"/>
        <c:scaling>
          <c:orientation val="minMax"/>
          <c:min val="1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FI"/>
          </a:p>
        </c:txPr>
        <c:crossAx val="5253974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F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tmp"/><Relationship Id="rId7" Type="http://schemas.openxmlformats.org/officeDocument/2006/relationships/image" Target="../media/image9.png"/><Relationship Id="rId2" Type="http://schemas.openxmlformats.org/officeDocument/2006/relationships/image" Target="../media/image4.tmp"/><Relationship Id="rId1" Type="http://schemas.openxmlformats.org/officeDocument/2006/relationships/image" Target="../media/image3.tmp"/><Relationship Id="rId6" Type="http://schemas.openxmlformats.org/officeDocument/2006/relationships/image" Target="../media/image8.emf"/><Relationship Id="rId5" Type="http://schemas.openxmlformats.org/officeDocument/2006/relationships/image" Target="../media/image7.emf"/><Relationship Id="rId10" Type="http://schemas.openxmlformats.org/officeDocument/2006/relationships/image" Target="../media/image12.tmp"/><Relationship Id="rId4" Type="http://schemas.openxmlformats.org/officeDocument/2006/relationships/image" Target="../media/image6.emf"/><Relationship Id="rId9" Type="http://schemas.openxmlformats.org/officeDocument/2006/relationships/image" Target="../media/image1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2</xdr:row>
      <xdr:rowOff>0</xdr:rowOff>
    </xdr:from>
    <xdr:to>
      <xdr:col>12</xdr:col>
      <xdr:colOff>9525</xdr:colOff>
      <xdr:row>24</xdr:row>
      <xdr:rowOff>9525</xdr:rowOff>
    </xdr:to>
    <xdr:pic>
      <xdr:nvPicPr>
        <xdr:cNvPr id="3" name="Bildobjekt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390525"/>
          <a:ext cx="3819525" cy="6715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12</xdr:col>
      <xdr:colOff>148590</xdr:colOff>
      <xdr:row>40</xdr:row>
      <xdr:rowOff>87630</xdr:rowOff>
    </xdr:from>
    <xdr:to>
      <xdr:col>21</xdr:col>
      <xdr:colOff>207645</xdr:colOff>
      <xdr:row>55</xdr:row>
      <xdr:rowOff>38100</xdr:rowOff>
    </xdr:to>
    <xdr:sp macro="" textlink="">
      <xdr:nvSpPr>
        <xdr:cNvPr id="2" name="textruta 1">
          <a:extLst>
            <a:ext uri="{FF2B5EF4-FFF2-40B4-BE49-F238E27FC236}">
              <a16:creationId xmlns:a16="http://schemas.microsoft.com/office/drawing/2014/main" id="{00000000-0008-0000-0400-000002000000}"/>
            </a:ext>
          </a:extLst>
        </xdr:cNvPr>
        <xdr:cNvSpPr txBox="1"/>
      </xdr:nvSpPr>
      <xdr:spPr>
        <a:xfrm>
          <a:off x="7692390" y="4773930"/>
          <a:ext cx="4145280" cy="29889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FI" sz="1100">
              <a:solidFill>
                <a:schemeClr val="dk1"/>
              </a:solidFill>
              <a:effectLst/>
              <a:latin typeface="+mn-lt"/>
              <a:ea typeface="+mn-ea"/>
              <a:cs typeface="+mn-cs"/>
            </a:rPr>
            <a:t>OBS i den slutliga fördelningen av förskottet per</a:t>
          </a:r>
          <a:r>
            <a:rPr lang="sv-FI" sz="1100" baseline="0">
              <a:solidFill>
                <a:schemeClr val="dk1"/>
              </a:solidFill>
              <a:effectLst/>
              <a:latin typeface="+mn-lt"/>
              <a:ea typeface="+mn-ea"/>
              <a:cs typeface="+mn-cs"/>
            </a:rPr>
            <a:t> kommun ska</a:t>
          </a:r>
          <a:r>
            <a:rPr lang="sv-FI" sz="1100">
              <a:solidFill>
                <a:schemeClr val="dk1"/>
              </a:solidFill>
              <a:effectLst/>
              <a:latin typeface="+mn-lt"/>
              <a:ea typeface="+mn-ea"/>
              <a:cs typeface="+mn-cs"/>
            </a:rPr>
            <a:t> senaste</a:t>
          </a:r>
          <a:r>
            <a:rPr lang="sv-FI" sz="1100" baseline="0">
              <a:solidFill>
                <a:schemeClr val="dk1"/>
              </a:solidFill>
              <a:effectLst/>
              <a:latin typeface="+mn-lt"/>
              <a:ea typeface="+mn-ea"/>
              <a:cs typeface="+mn-cs"/>
            </a:rPr>
            <a:t> kända </a:t>
          </a:r>
          <a:r>
            <a:rPr lang="sv-FI" sz="1100">
              <a:solidFill>
                <a:schemeClr val="dk1"/>
              </a:solidFill>
              <a:effectLst/>
              <a:latin typeface="+mn-lt"/>
              <a:ea typeface="+mn-ea"/>
              <a:cs typeface="+mn-cs"/>
            </a:rPr>
            <a:t>statistikuppgifter (torde bli 2022 års beskattning</a:t>
          </a:r>
          <a:r>
            <a:rPr lang="sv-FI" sz="1100" baseline="0">
              <a:solidFill>
                <a:schemeClr val="dk1"/>
              </a:solidFill>
              <a:effectLst/>
              <a:latin typeface="+mn-lt"/>
              <a:ea typeface="+mn-ea"/>
              <a:cs typeface="+mn-cs"/>
            </a:rPr>
            <a:t>) beaktas samt senaste inkomstskattesats (för år 2024).</a:t>
          </a:r>
          <a:endParaRPr lang="sv-FI">
            <a:effectLst/>
          </a:endParaRPr>
        </a:p>
        <a:p>
          <a:endParaRPr lang="sv-FI" sz="1100" baseline="0"/>
        </a:p>
        <a:p>
          <a:pPr marL="0" marR="0" lvl="0" indent="0" defTabSz="914400" eaLnBrk="1" fontAlgn="auto" latinLnBrk="0" hangingPunct="1">
            <a:lnSpc>
              <a:spcPct val="100000"/>
            </a:lnSpc>
            <a:spcBef>
              <a:spcPts val="0"/>
            </a:spcBef>
            <a:spcAft>
              <a:spcPts val="0"/>
            </a:spcAft>
            <a:buClrTx/>
            <a:buSzTx/>
            <a:buFontTx/>
            <a:buNone/>
            <a:tabLst/>
            <a:defRPr/>
          </a:pPr>
          <a:r>
            <a:rPr lang="sv-FI" sz="1100" baseline="0">
              <a:solidFill>
                <a:schemeClr val="dk1"/>
              </a:solidFill>
              <a:effectLst/>
              <a:latin typeface="+mn-lt"/>
              <a:ea typeface="+mn-ea"/>
              <a:cs typeface="+mn-cs"/>
            </a:rPr>
            <a:t>När beskattningen för år 2024 är slutförd kan det slutliga kompensationsbeloppet om 70 % av inkomstborfall till följd av grundavdraget beräknas och en avräkning görs i förhållande till det belopp som fördelats ut som förskott under år 2024.</a:t>
          </a:r>
          <a:endParaRPr lang="sv-FI">
            <a:effectLst/>
          </a:endParaRPr>
        </a:p>
        <a:p>
          <a:endParaRPr lang="sv-FI" sz="1100"/>
        </a:p>
        <a:p>
          <a:pPr marL="0" marR="0" lvl="0" indent="0" defTabSz="914400" eaLnBrk="1" fontAlgn="auto" latinLnBrk="0" hangingPunct="1">
            <a:lnSpc>
              <a:spcPct val="100000"/>
            </a:lnSpc>
            <a:spcBef>
              <a:spcPts val="0"/>
            </a:spcBef>
            <a:spcAft>
              <a:spcPts val="0"/>
            </a:spcAft>
            <a:buClrTx/>
            <a:buSzTx/>
            <a:buFontTx/>
            <a:buNone/>
            <a:tabLst/>
            <a:defRPr/>
          </a:pPr>
          <a:r>
            <a:rPr lang="sv-FI" sz="1100" baseline="0">
              <a:solidFill>
                <a:schemeClr val="dk1"/>
              </a:solidFill>
              <a:effectLst/>
              <a:latin typeface="+mn-lt"/>
              <a:ea typeface="+mn-ea"/>
              <a:cs typeface="+mn-cs"/>
            </a:rPr>
            <a:t>Avsikten är att förskottet ska betalas ut månatligen. </a:t>
          </a:r>
          <a:endParaRPr lang="sv-FI" sz="1100"/>
        </a:p>
      </xdr:txBody>
    </xdr:sp>
    <xdr:clientData/>
  </xdr:twoCellAnchor>
  <xdr:twoCellAnchor>
    <xdr:from>
      <xdr:col>13</xdr:col>
      <xdr:colOff>0</xdr:colOff>
      <xdr:row>80</xdr:row>
      <xdr:rowOff>137158</xdr:rowOff>
    </xdr:from>
    <xdr:to>
      <xdr:col>20</xdr:col>
      <xdr:colOff>571500</xdr:colOff>
      <xdr:row>97</xdr:row>
      <xdr:rowOff>104775</xdr:rowOff>
    </xdr:to>
    <xdr:sp macro="" textlink="">
      <xdr:nvSpPr>
        <xdr:cNvPr id="3" name="textruta 2">
          <a:extLst>
            <a:ext uri="{FF2B5EF4-FFF2-40B4-BE49-F238E27FC236}">
              <a16:creationId xmlns:a16="http://schemas.microsoft.com/office/drawing/2014/main" id="{00000000-0008-0000-0400-000003000000}"/>
            </a:ext>
          </a:extLst>
        </xdr:cNvPr>
        <xdr:cNvSpPr txBox="1"/>
      </xdr:nvSpPr>
      <xdr:spPr>
        <a:xfrm>
          <a:off x="10506075" y="4423408"/>
          <a:ext cx="4067175" cy="36061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FI" sz="1100"/>
            <a:t>OBS i den slutliga fördelningen av förskottet per</a:t>
          </a:r>
          <a:r>
            <a:rPr lang="sv-FI" sz="1100" baseline="0"/>
            <a:t> kommun ska</a:t>
          </a:r>
          <a:r>
            <a:rPr lang="sv-FI" sz="1100"/>
            <a:t> senaste statistikuppgifter (torde bli 2022 års beskattning</a:t>
          </a:r>
          <a:r>
            <a:rPr lang="sv-FI" sz="1100" baseline="0"/>
            <a:t>) beaktas samt senaste inkomstskattesats (för år 2024).</a:t>
          </a:r>
        </a:p>
        <a:p>
          <a:endParaRPr lang="sv-FI" sz="1100" baseline="0"/>
        </a:p>
        <a:p>
          <a:r>
            <a:rPr lang="sv-FI" sz="1100" baseline="0"/>
            <a:t>I statistiken för år 2020 angavs inte belopp för Kumlinge och Sottunga utan endast .., avdraget samt inkomstbortfallet för dessa kommuner har kalkylerats utgående från 2019 års statistuppgift.</a:t>
          </a:r>
        </a:p>
        <a:p>
          <a:endParaRPr lang="sv-FI" sz="1100" baseline="0"/>
        </a:p>
        <a:p>
          <a:r>
            <a:rPr lang="sv-FI" sz="1100" baseline="0"/>
            <a:t>När beskattningen för år 2024 är slutförd kan det slutliga kompensationsbeloppet om 70 % av inkomstborfall till följd av resekostnadsavdraget beräknas och en avräkning görs i förhållande till det belopp som fördelats ut som förskott under år 2024.</a:t>
          </a:r>
        </a:p>
        <a:p>
          <a:endParaRPr lang="sv-FI" sz="1100" baseline="0"/>
        </a:p>
        <a:p>
          <a:r>
            <a:rPr lang="sv-FI" sz="1100" baseline="0"/>
            <a:t>Avsikten är att förskottet ska betalas ut månatligen. Lagen kommer inte att kunna träda ikraft förrän en bit in på år 2023 p.g.a. lagstiftningskontrollen. För de månader som har gått före ikraftträdandet betalas förskottet på kompensationen tillsammans med den första betalningen (senast maj, förutsatt att lagtinget fattar beslut om lagen i december 2022).</a:t>
          </a:r>
          <a:endParaRPr lang="sv-FI"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85725</xdr:colOff>
      <xdr:row>28</xdr:row>
      <xdr:rowOff>185737</xdr:rowOff>
    </xdr:from>
    <xdr:to>
      <xdr:col>3</xdr:col>
      <xdr:colOff>114300</xdr:colOff>
      <xdr:row>43</xdr:row>
      <xdr:rowOff>71437</xdr:rowOff>
    </xdr:to>
    <xdr:graphicFrame macro="">
      <xdr:nvGraphicFramePr>
        <xdr:cNvPr id="4" name="Diagram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29</xdr:row>
      <xdr:rowOff>0</xdr:rowOff>
    </xdr:from>
    <xdr:to>
      <xdr:col>10</xdr:col>
      <xdr:colOff>342900</xdr:colOff>
      <xdr:row>43</xdr:row>
      <xdr:rowOff>76200</xdr:rowOff>
    </xdr:to>
    <xdr:graphicFrame macro="">
      <xdr:nvGraphicFramePr>
        <xdr:cNvPr id="3" name="Diagram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7619</xdr:colOff>
      <xdr:row>142</xdr:row>
      <xdr:rowOff>45720</xdr:rowOff>
    </xdr:from>
    <xdr:to>
      <xdr:col>5</xdr:col>
      <xdr:colOff>619125</xdr:colOff>
      <xdr:row>144</xdr:row>
      <xdr:rowOff>121920</xdr:rowOff>
    </xdr:to>
    <xdr:sp macro="" textlink="">
      <xdr:nvSpPr>
        <xdr:cNvPr id="2" name="textruta 1">
          <a:extLst>
            <a:ext uri="{FF2B5EF4-FFF2-40B4-BE49-F238E27FC236}">
              <a16:creationId xmlns:a16="http://schemas.microsoft.com/office/drawing/2014/main" id="{00000000-0008-0000-0A00-000002000000}"/>
            </a:ext>
          </a:extLst>
        </xdr:cNvPr>
        <xdr:cNvSpPr txBox="1"/>
      </xdr:nvSpPr>
      <xdr:spPr>
        <a:xfrm>
          <a:off x="7619" y="27763470"/>
          <a:ext cx="5402581" cy="457200"/>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FI"/>
            <a:t>23 § Justering av uppräkningsfaktorn</a:t>
          </a:r>
        </a:p>
        <a:p>
          <a:r>
            <a:rPr lang="sv-FI"/>
            <a:t>Kompletteringsandelen</a:t>
          </a:r>
          <a:r>
            <a:rPr lang="sv-FI" baseline="0"/>
            <a:t> ska vara </a:t>
          </a:r>
          <a:r>
            <a:rPr lang="sv-FI" baseline="0">
              <a:solidFill>
                <a:sysClr val="windowText" lastClr="000000"/>
              </a:solidFill>
            </a:rPr>
            <a:t>33-50 %. A</a:t>
          </a:r>
          <a:r>
            <a:rPr lang="sv-FI" sz="1100">
              <a:solidFill>
                <a:schemeClr val="dk1"/>
              </a:solidFill>
              <a:effectLst/>
              <a:latin typeface="+mn-lt"/>
              <a:ea typeface="+mn-ea"/>
              <a:cs typeface="+mn-cs"/>
            </a:rPr>
            <a:t>lla</a:t>
          </a:r>
          <a:r>
            <a:rPr lang="sv-FI" sz="1100" baseline="0">
              <a:solidFill>
                <a:schemeClr val="dk1"/>
              </a:solidFill>
              <a:effectLst/>
              <a:latin typeface="+mn-lt"/>
              <a:ea typeface="+mn-ea"/>
              <a:cs typeface="+mn-cs"/>
            </a:rPr>
            <a:t> kommuner kan inte få skattekomplettering. </a:t>
          </a:r>
          <a:endParaRPr lang="sv-FI">
            <a:solidFill>
              <a:sysClr val="windowText" lastClr="000000"/>
            </a:solidFill>
          </a:endParaRPr>
        </a:p>
      </xdr:txBody>
    </xdr:sp>
    <xdr:clientData/>
  </xdr:twoCellAnchor>
  <xdr:twoCellAnchor>
    <xdr:from>
      <xdr:col>11</xdr:col>
      <xdr:colOff>23094</xdr:colOff>
      <xdr:row>100</xdr:row>
      <xdr:rowOff>147495</xdr:rowOff>
    </xdr:from>
    <xdr:to>
      <xdr:col>18</xdr:col>
      <xdr:colOff>486355</xdr:colOff>
      <xdr:row>118</xdr:row>
      <xdr:rowOff>173472</xdr:rowOff>
    </xdr:to>
    <xdr:grpSp>
      <xdr:nvGrpSpPr>
        <xdr:cNvPr id="7" name="Grupp 6">
          <a:extLst>
            <a:ext uri="{FF2B5EF4-FFF2-40B4-BE49-F238E27FC236}">
              <a16:creationId xmlns:a16="http://schemas.microsoft.com/office/drawing/2014/main" id="{00000000-0008-0000-0A00-000007000000}"/>
            </a:ext>
          </a:extLst>
        </xdr:cNvPr>
        <xdr:cNvGrpSpPr/>
      </xdr:nvGrpSpPr>
      <xdr:grpSpPr>
        <a:xfrm>
          <a:off x="10344730" y="19691063"/>
          <a:ext cx="6091670" cy="3454977"/>
          <a:chOff x="10344730" y="19691063"/>
          <a:chExt cx="6091670" cy="3454977"/>
        </a:xfrm>
      </xdr:grpSpPr>
      <xdr:graphicFrame macro="">
        <xdr:nvGraphicFramePr>
          <xdr:cNvPr id="3" name="Diagram 2">
            <a:extLst>
              <a:ext uri="{FF2B5EF4-FFF2-40B4-BE49-F238E27FC236}">
                <a16:creationId xmlns:a16="http://schemas.microsoft.com/office/drawing/2014/main" id="{00000000-0008-0000-0A00-000003000000}"/>
              </a:ext>
            </a:extLst>
          </xdr:cNvPr>
          <xdr:cNvGraphicFramePr/>
        </xdr:nvGraphicFramePr>
        <xdr:xfrm>
          <a:off x="11864401" y="20011450"/>
          <a:ext cx="4571999" cy="3134590"/>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5" name="Rak koppling 4">
            <a:extLst>
              <a:ext uri="{FF2B5EF4-FFF2-40B4-BE49-F238E27FC236}">
                <a16:creationId xmlns:a16="http://schemas.microsoft.com/office/drawing/2014/main" id="{00000000-0008-0000-0A00-000005000000}"/>
              </a:ext>
            </a:extLst>
          </xdr:cNvPr>
          <xdr:cNvCxnSpPr/>
        </xdr:nvCxnSpPr>
        <xdr:spPr>
          <a:xfrm flipV="1">
            <a:off x="10344730" y="19691063"/>
            <a:ext cx="3939886" cy="17318"/>
          </a:xfrm>
          <a:prstGeom prst="line">
            <a:avLst/>
          </a:prstGeom>
          <a:ln w="50800">
            <a:solidFill>
              <a:srgbClr val="00B05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381000</xdr:colOff>
      <xdr:row>199</xdr:row>
      <xdr:rowOff>188026</xdr:rowOff>
    </xdr:from>
    <xdr:to>
      <xdr:col>12</xdr:col>
      <xdr:colOff>73602</xdr:colOff>
      <xdr:row>224</xdr:row>
      <xdr:rowOff>99580</xdr:rowOff>
    </xdr:to>
    <xdr:pic>
      <xdr:nvPicPr>
        <xdr:cNvPr id="4" name="Bildobjekt 3">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38963435"/>
          <a:ext cx="10906125" cy="4674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139</xdr:row>
      <xdr:rowOff>188258</xdr:rowOff>
    </xdr:from>
    <xdr:to>
      <xdr:col>9</xdr:col>
      <xdr:colOff>43536</xdr:colOff>
      <xdr:row>159</xdr:row>
      <xdr:rowOff>2074</xdr:rowOff>
    </xdr:to>
    <xdr:pic>
      <xdr:nvPicPr>
        <xdr:cNvPr id="4" name="Bildobjekt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8471905"/>
          <a:ext cx="7629918" cy="3623816"/>
        </a:xfrm>
        <a:prstGeom prst="rect">
          <a:avLst/>
        </a:prstGeom>
      </xdr:spPr>
    </xdr:pic>
    <xdr:clientData/>
  </xdr:twoCellAnchor>
  <xdr:twoCellAnchor editAs="oneCell">
    <xdr:from>
      <xdr:col>0</xdr:col>
      <xdr:colOff>0</xdr:colOff>
      <xdr:row>159</xdr:row>
      <xdr:rowOff>141755</xdr:rowOff>
    </xdr:from>
    <xdr:to>
      <xdr:col>16</xdr:col>
      <xdr:colOff>77229</xdr:colOff>
      <xdr:row>186</xdr:row>
      <xdr:rowOff>8468</xdr:rowOff>
    </xdr:to>
    <xdr:pic>
      <xdr:nvPicPr>
        <xdr:cNvPr id="6" name="Bildobjekt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2179373"/>
          <a:ext cx="12453379" cy="5016563"/>
        </a:xfrm>
        <a:prstGeom prst="rect">
          <a:avLst/>
        </a:prstGeom>
      </xdr:spPr>
    </xdr:pic>
    <xdr:clientData/>
  </xdr:twoCellAnchor>
  <xdr:twoCellAnchor editAs="oneCell">
    <xdr:from>
      <xdr:col>0</xdr:col>
      <xdr:colOff>302559</xdr:colOff>
      <xdr:row>185</xdr:row>
      <xdr:rowOff>44824</xdr:rowOff>
    </xdr:from>
    <xdr:to>
      <xdr:col>15</xdr:col>
      <xdr:colOff>499081</xdr:colOff>
      <xdr:row>200</xdr:row>
      <xdr:rowOff>7118</xdr:rowOff>
    </xdr:to>
    <xdr:pic>
      <xdr:nvPicPr>
        <xdr:cNvPr id="8" name="Bildobjekt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02559" y="37035442"/>
          <a:ext cx="11850640" cy="2819794"/>
        </a:xfrm>
        <a:prstGeom prst="rect">
          <a:avLst/>
        </a:prstGeom>
      </xdr:spPr>
    </xdr:pic>
    <xdr:clientData/>
  </xdr:twoCellAnchor>
  <xdr:twoCellAnchor editAs="oneCell">
    <xdr:from>
      <xdr:col>16</xdr:col>
      <xdr:colOff>421342</xdr:colOff>
      <xdr:row>161</xdr:row>
      <xdr:rowOff>161511</xdr:rowOff>
    </xdr:from>
    <xdr:to>
      <xdr:col>28</xdr:col>
      <xdr:colOff>677508</xdr:colOff>
      <xdr:row>191</xdr:row>
      <xdr:rowOff>45196</xdr:rowOff>
    </xdr:to>
    <xdr:pic>
      <xdr:nvPicPr>
        <xdr:cNvPr id="9" name="Bildobjekt 8">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490077" y="32580129"/>
          <a:ext cx="8369225" cy="5605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42583</xdr:colOff>
      <xdr:row>188</xdr:row>
      <xdr:rowOff>159765</xdr:rowOff>
    </xdr:from>
    <xdr:to>
      <xdr:col>30</xdr:col>
      <xdr:colOff>334085</xdr:colOff>
      <xdr:row>207</xdr:row>
      <xdr:rowOff>45867</xdr:rowOff>
    </xdr:to>
    <xdr:pic>
      <xdr:nvPicPr>
        <xdr:cNvPr id="10" name="Bildobjekt 9">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839701" y="37721883"/>
          <a:ext cx="9424296" cy="35119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168088</xdr:colOff>
      <xdr:row>137</xdr:row>
      <xdr:rowOff>134470</xdr:rowOff>
    </xdr:from>
    <xdr:to>
      <xdr:col>30</xdr:col>
      <xdr:colOff>685240</xdr:colOff>
      <xdr:row>160</xdr:row>
      <xdr:rowOff>1120</xdr:rowOff>
    </xdr:to>
    <xdr:pic>
      <xdr:nvPicPr>
        <xdr:cNvPr id="3" name="Bildobjekt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563970" y="28037117"/>
          <a:ext cx="15364946" cy="424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238125</xdr:colOff>
      <xdr:row>115</xdr:row>
      <xdr:rowOff>180975</xdr:rowOff>
    </xdr:from>
    <xdr:to>
      <xdr:col>25</xdr:col>
      <xdr:colOff>666750</xdr:colOff>
      <xdr:row>134</xdr:row>
      <xdr:rowOff>171450</xdr:rowOff>
    </xdr:to>
    <xdr:pic>
      <xdr:nvPicPr>
        <xdr:cNvPr id="11" name="Bildobjekt 10">
          <a:extLst>
            <a:ext uri="{FF2B5EF4-FFF2-40B4-BE49-F238E27FC236}">
              <a16:creationId xmlns:a16="http://schemas.microsoft.com/office/drawing/2014/main" id="{00000000-0008-0000-0B00-00000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344650" y="24183975"/>
          <a:ext cx="5143500" cy="3609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66675</xdr:colOff>
      <xdr:row>122</xdr:row>
      <xdr:rowOff>142875</xdr:rowOff>
    </xdr:from>
    <xdr:to>
      <xdr:col>19</xdr:col>
      <xdr:colOff>28575</xdr:colOff>
      <xdr:row>135</xdr:row>
      <xdr:rowOff>152400</xdr:rowOff>
    </xdr:to>
    <xdr:pic>
      <xdr:nvPicPr>
        <xdr:cNvPr id="12" name="Bildobjekt 11">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58100" y="25012650"/>
          <a:ext cx="6477000" cy="2486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323850</xdr:colOff>
      <xdr:row>114</xdr:row>
      <xdr:rowOff>104775</xdr:rowOff>
    </xdr:from>
    <xdr:to>
      <xdr:col>18</xdr:col>
      <xdr:colOff>409575</xdr:colOff>
      <xdr:row>124</xdr:row>
      <xdr:rowOff>38100</xdr:rowOff>
    </xdr:to>
    <xdr:pic>
      <xdr:nvPicPr>
        <xdr:cNvPr id="13" name="Bildobjekt 12">
          <a:extLst>
            <a:ext uri="{FF2B5EF4-FFF2-40B4-BE49-F238E27FC236}">
              <a16:creationId xmlns:a16="http://schemas.microsoft.com/office/drawing/2014/main" id="{00000000-0008-0000-0B00-00000D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915275" y="23450550"/>
          <a:ext cx="5876925" cy="1838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276225</xdr:colOff>
      <xdr:row>124</xdr:row>
      <xdr:rowOff>95250</xdr:rowOff>
    </xdr:from>
    <xdr:to>
      <xdr:col>35</xdr:col>
      <xdr:colOff>153341</xdr:colOff>
      <xdr:row>136</xdr:row>
      <xdr:rowOff>66990</xdr:rowOff>
    </xdr:to>
    <xdr:pic>
      <xdr:nvPicPr>
        <xdr:cNvPr id="5" name="Bildobjekt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9097625" y="25812750"/>
          <a:ext cx="6744641" cy="22577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12</xdr:col>
          <xdr:colOff>333375</xdr:colOff>
          <xdr:row>46</xdr:row>
          <xdr:rowOff>19050</xdr:rowOff>
        </xdr:to>
        <xdr:sp macro="" textlink="">
          <xdr:nvSpPr>
            <xdr:cNvPr id="46081" name="Object 1" hidden="1">
              <a:extLst>
                <a:ext uri="{63B3BB69-23CF-44E3-9099-C40C66FF867C}">
                  <a14:compatExt spid="_x0000_s46081"/>
                </a:ext>
                <a:ext uri="{FF2B5EF4-FFF2-40B4-BE49-F238E27FC236}">
                  <a16:creationId xmlns:a16="http://schemas.microsoft.com/office/drawing/2014/main" id="{00000000-0008-0000-1900-000001B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7</xdr:row>
          <xdr:rowOff>0</xdr:rowOff>
        </xdr:from>
        <xdr:to>
          <xdr:col>10</xdr:col>
          <xdr:colOff>333375</xdr:colOff>
          <xdr:row>49</xdr:row>
          <xdr:rowOff>19050</xdr:rowOff>
        </xdr:to>
        <xdr:sp macro="" textlink="">
          <xdr:nvSpPr>
            <xdr:cNvPr id="47105" name="Object 1" hidden="1">
              <a:extLst>
                <a:ext uri="{63B3BB69-23CF-44E3-9099-C40C66FF867C}">
                  <a14:compatExt spid="_x0000_s47105"/>
                </a:ext>
                <a:ext uri="{FF2B5EF4-FFF2-40B4-BE49-F238E27FC236}">
                  <a16:creationId xmlns:a16="http://schemas.microsoft.com/office/drawing/2014/main" id="{00000000-0008-0000-1A00-000001B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dahosting-my.sharepoint.com/Finans/Lsandelar/&#197;r%202018/Grundskolan_eventuellt_fel/Redog&#246;relse_felaktigt_basbelopp_av_Dreyer_0608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v Dreyer"/>
      <sheetName val="Våra noteringar"/>
      <sheetName val="BE001"/>
      <sheetName val="Blad2"/>
      <sheetName val="Blad3"/>
    </sheetNames>
    <sheetDataSet>
      <sheetData sheetId="0">
        <row r="31">
          <cell r="D31">
            <v>26246.25</v>
          </cell>
        </row>
        <row r="32">
          <cell r="D32">
            <v>16331</v>
          </cell>
        </row>
        <row r="33">
          <cell r="D33">
            <v>11665</v>
          </cell>
        </row>
        <row r="34">
          <cell r="D34">
            <v>4666</v>
          </cell>
        </row>
        <row r="35">
          <cell r="D35">
            <v>2333</v>
          </cell>
        </row>
        <row r="36">
          <cell r="D36">
            <v>1458.13</v>
          </cell>
        </row>
        <row r="68">
          <cell r="D68">
            <v>40922.381249999999</v>
          </cell>
        </row>
        <row r="69">
          <cell r="D69">
            <v>25462.814999999995</v>
          </cell>
        </row>
        <row r="70">
          <cell r="D70">
            <v>18187.724999999999</v>
          </cell>
        </row>
        <row r="71">
          <cell r="D71">
            <v>7275.09</v>
          </cell>
        </row>
        <row r="72">
          <cell r="D72">
            <v>3637.5450000000001</v>
          </cell>
        </row>
        <row r="73">
          <cell r="D73">
            <v>2273.4656249999998</v>
          </cell>
        </row>
        <row r="106">
          <cell r="D106">
            <v>41249.542192704859</v>
          </cell>
        </row>
        <row r="107">
          <cell r="D107">
            <v>25666.381808794136</v>
          </cell>
        </row>
        <row r="108">
          <cell r="D108">
            <v>18333.129863424383</v>
          </cell>
        </row>
        <row r="109">
          <cell r="D109">
            <v>7333.2519453697532</v>
          </cell>
        </row>
        <row r="110">
          <cell r="D110">
            <v>3666.6259726848766</v>
          </cell>
        </row>
        <row r="111">
          <cell r="D111">
            <v>2291.6412329280479</v>
          </cell>
        </row>
        <row r="139">
          <cell r="D139">
            <v>0.2</v>
          </cell>
        </row>
        <row r="140">
          <cell r="D140">
            <v>0.34</v>
          </cell>
        </row>
        <row r="141">
          <cell r="D141">
            <v>0.39</v>
          </cell>
        </row>
      </sheetData>
      <sheetData sheetId="1"/>
      <sheetData sheetId="2"/>
      <sheetData sheetId="3"/>
      <sheetData sheetId="4"/>
    </sheetDataSet>
  </externalBook>
</externalLink>
</file>

<file path=xl/persons/person.xml><?xml version="1.0" encoding="utf-8"?>
<personList xmlns="http://schemas.microsoft.com/office/spreadsheetml/2018/threadedcomments" xmlns:x="http://schemas.openxmlformats.org/spreadsheetml/2006/main">
  <person displayName="Robert Lönnqvist" id="{F3C6A5EE-7817-45EE-97FD-614DA71C7A75}" userId="S::robert.lonnqvist@regeringen.ax::00defe89-6d3e-403c-bbfa-2a392297bc30" providerId="AD"/>
</personList>
</file>

<file path=xl/theme/theme1.xml><?xml version="1.0" encoding="utf-8"?>
<a:theme xmlns:a="http://schemas.openxmlformats.org/drawingml/2006/main" name="Office-tema">
  <a:themeElements>
    <a:clrScheme name="LR - profil">
      <a:dk1>
        <a:srgbClr val="000000"/>
      </a:dk1>
      <a:lt1>
        <a:sysClr val="window" lastClr="FFFFFF"/>
      </a:lt1>
      <a:dk2>
        <a:srgbClr val="9D9D9D"/>
      </a:dk2>
      <a:lt2>
        <a:srgbClr val="DADADA"/>
      </a:lt2>
      <a:accent1>
        <a:srgbClr val="0064AE"/>
      </a:accent1>
      <a:accent2>
        <a:srgbClr val="DB0F16"/>
      </a:accent2>
      <a:accent3>
        <a:srgbClr val="FFD300"/>
      </a:accent3>
      <a:accent4>
        <a:srgbClr val="D78A7B"/>
      </a:accent4>
      <a:accent5>
        <a:srgbClr val="9EC1C6"/>
      </a:accent5>
      <a:accent6>
        <a:srgbClr val="9D9D9D"/>
      </a:accent6>
      <a:hlink>
        <a:srgbClr val="0064AE"/>
      </a:hlink>
      <a:folHlink>
        <a:srgbClr val="D78A7B"/>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F24" dT="2023-06-26T09:13:27.56" personId="{F3C6A5EE-7817-45EE-97FD-614DA71C7A75}" id="{C468E7E2-DCC0-4DFC-AEEA-0FB73B306965}">
    <text>Medis finansieringsmodell</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regeringen.ax/sites/www.regeringen.ax/files/attachments/law/afs2021_nr136.pdf" TargetMode="External"/><Relationship Id="rId1" Type="http://schemas.openxmlformats.org/officeDocument/2006/relationships/hyperlink" Target="https://www.lagtinget.ax/dokument/lagforslag-1-2020-2021-48269"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hyperlink" Target="https://veronsaajat.vero.fi/sv-FI/Home/Other" TargetMode="External"/><Relationship Id="rId7" Type="http://schemas.openxmlformats.org/officeDocument/2006/relationships/comments" Target="../comments2.xml"/><Relationship Id="rId2" Type="http://schemas.openxmlformats.org/officeDocument/2006/relationships/hyperlink" Target="https://www.asub.ax/sv/statistik/kommunernas-skattesatser-2023" TargetMode="External"/><Relationship Id="rId1" Type="http://schemas.openxmlformats.org/officeDocument/2006/relationships/hyperlink" Target="https://veronsaajat.vero.fi/sv-FI/Home/Other" TargetMode="External"/><Relationship Id="rId6" Type="http://schemas.openxmlformats.org/officeDocument/2006/relationships/vmlDrawing" Target="../drawings/vmlDrawing2.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hyperlink" Target="https://www.asub.ax/sv/statistik/prisindex-kommunala-basservicen-pa-aland-2022" TargetMode="External"/><Relationship Id="rId2" Type="http://schemas.openxmlformats.org/officeDocument/2006/relationships/hyperlink" Target="https://www.asub.ax/sites/www.asub.ax/files/statistics/prisindex_for_den_kommunala_basservicen_2021.pdf" TargetMode="External"/><Relationship Id="rId1" Type="http://schemas.openxmlformats.org/officeDocument/2006/relationships/hyperlink" Target="https://www.asub.ax/sites/www.asub.ax/files/statistics/prisindex_for_den_kommunala_basservicen_2019.pdf" TargetMode="External"/><Relationship Id="rId6" Type="http://schemas.openxmlformats.org/officeDocument/2006/relationships/drawing" Target="../drawings/drawing5.xml"/><Relationship Id="rId5" Type="http://schemas.openxmlformats.org/officeDocument/2006/relationships/printerSettings" Target="../printerSettings/printerSettings11.bin"/><Relationship Id="rId4" Type="http://schemas.openxmlformats.org/officeDocument/2006/relationships/hyperlink" Target="https://www.asub.ax/sv/statistik/prisindex-kommunala-basservicen-pa-aland-2023-preliminara-uppgifter"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lagtinget.ax/dokument/lagforslag-62022-2023-52740" TargetMode="External"/><Relationship Id="rId1" Type="http://schemas.openxmlformats.org/officeDocument/2006/relationships/hyperlink" Target="https://www.regeringen.ax/alandsk-lagstiftning/alex/199375"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asub.ax/sv/befolkning-befolkningens-storlek-och-struktur-tabeller" TargetMode="Externa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25.bin"/><Relationship Id="rId5" Type="http://schemas.openxmlformats.org/officeDocument/2006/relationships/image" Target="../media/image13.emf"/><Relationship Id="rId4" Type="http://schemas.openxmlformats.org/officeDocument/2006/relationships/oleObject" Target="../embeddings/oleObject1.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26.bin"/><Relationship Id="rId5" Type="http://schemas.openxmlformats.org/officeDocument/2006/relationships/image" Target="../media/image14.emf"/><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regeringen.ax/ekonomi/budget/budget-2021-2024" TargetMode="External"/><Relationship Id="rId1" Type="http://schemas.openxmlformats.org/officeDocument/2006/relationships/hyperlink" Target="https://www.regeringen.ax/sites/www.regeringen.ax/files/attachments/law/afs2018_nr28.pdf" TargetMode="External"/><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lagtinget.ax/dokument/lagforslag-52022-2023-52735" TargetMode="External"/><Relationship Id="rId1" Type="http://schemas.openxmlformats.org/officeDocument/2006/relationships/hyperlink" Target="https://www.lagtinget.ax/dokument/lagforslag-11-2022-2023-53175" TargetMode="External"/><Relationship Id="rId4"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3E3E5"/>
  </sheetPr>
  <dimension ref="A1:N42"/>
  <sheetViews>
    <sheetView workbookViewId="0">
      <selection activeCell="E33" sqref="E33"/>
    </sheetView>
  </sheetViews>
  <sheetFormatPr defaultColWidth="8.88671875" defaultRowHeight="15"/>
  <cols>
    <col min="1" max="1" width="11.33203125" style="311" customWidth="1"/>
    <col min="2" max="2" width="1.109375" style="311" customWidth="1"/>
    <col min="3" max="3" width="13.77734375" style="311" bestFit="1" customWidth="1"/>
    <col min="4" max="4" width="1.109375" style="311" customWidth="1"/>
    <col min="5" max="5" width="71.77734375" style="311" customWidth="1"/>
    <col min="6" max="16384" width="8.88671875" style="311"/>
  </cols>
  <sheetData>
    <row r="1" spans="1:7" ht="15.75">
      <c r="A1" s="11" t="s">
        <v>0</v>
      </c>
      <c r="B1" s="11"/>
      <c r="C1" s="11"/>
      <c r="D1" s="11"/>
      <c r="E1" s="770"/>
      <c r="F1" s="770"/>
      <c r="G1" s="770"/>
    </row>
    <row r="3" spans="1:7">
      <c r="A3" s="4" t="s">
        <v>1</v>
      </c>
      <c r="B3" s="4"/>
      <c r="C3" s="4" t="s">
        <v>2</v>
      </c>
      <c r="D3" s="4"/>
      <c r="E3" s="4" t="s">
        <v>3</v>
      </c>
      <c r="F3" s="4"/>
      <c r="G3" s="4"/>
    </row>
    <row r="4" spans="1:7">
      <c r="A4" s="771">
        <v>43626</v>
      </c>
      <c r="B4" s="771"/>
      <c r="C4" s="771" t="s">
        <v>4</v>
      </c>
      <c r="D4" s="771"/>
      <c r="E4" s="770" t="s">
        <v>5</v>
      </c>
      <c r="F4" s="770"/>
      <c r="G4" s="770"/>
    </row>
    <row r="5" spans="1:7">
      <c r="A5" s="770"/>
      <c r="B5" s="770"/>
      <c r="C5" s="770" t="s">
        <v>6</v>
      </c>
      <c r="D5" s="770"/>
      <c r="E5" s="770" t="s">
        <v>7</v>
      </c>
      <c r="F5" s="770"/>
      <c r="G5" s="770"/>
    </row>
    <row r="6" spans="1:7">
      <c r="A6" s="770"/>
      <c r="B6" s="770"/>
      <c r="C6" s="770" t="s">
        <v>8</v>
      </c>
      <c r="D6" s="770"/>
      <c r="E6" s="770" t="s">
        <v>9</v>
      </c>
      <c r="F6" s="770"/>
      <c r="G6" s="770"/>
    </row>
    <row r="7" spans="1:7">
      <c r="A7" s="770"/>
      <c r="B7" s="770"/>
      <c r="C7" s="770" t="s">
        <v>10</v>
      </c>
      <c r="D7" s="770"/>
      <c r="E7" s="770" t="s">
        <v>11</v>
      </c>
      <c r="F7" s="770"/>
      <c r="G7" s="770"/>
    </row>
    <row r="8" spans="1:7">
      <c r="A8" s="771">
        <v>43627</v>
      </c>
      <c r="B8" s="771"/>
      <c r="C8" s="770" t="s">
        <v>12</v>
      </c>
      <c r="D8" s="770"/>
      <c r="E8" s="770" t="s">
        <v>13</v>
      </c>
      <c r="F8" s="770"/>
      <c r="G8" s="770"/>
    </row>
    <row r="9" spans="1:7">
      <c r="A9" s="771">
        <v>43628</v>
      </c>
      <c r="B9" s="771"/>
      <c r="C9" s="770" t="s">
        <v>14</v>
      </c>
      <c r="D9" s="770"/>
      <c r="E9" s="770" t="s">
        <v>11</v>
      </c>
      <c r="F9" s="770"/>
      <c r="G9" s="770"/>
    </row>
    <row r="10" spans="1:7">
      <c r="A10" s="771">
        <v>43644</v>
      </c>
      <c r="B10" s="770"/>
      <c r="C10" s="770"/>
      <c r="D10" s="770"/>
      <c r="E10" s="770" t="s">
        <v>15</v>
      </c>
      <c r="F10" s="770"/>
      <c r="G10" s="770"/>
    </row>
    <row r="11" spans="1:7">
      <c r="A11" s="771">
        <v>43647</v>
      </c>
      <c r="B11" s="771"/>
      <c r="C11" s="770" t="s">
        <v>16</v>
      </c>
      <c r="D11" s="770"/>
      <c r="E11" s="770" t="s">
        <v>17</v>
      </c>
      <c r="F11" s="770"/>
      <c r="G11" s="770"/>
    </row>
    <row r="12" spans="1:7">
      <c r="A12" s="770"/>
      <c r="B12" s="770"/>
      <c r="C12" s="770"/>
      <c r="D12" s="770"/>
      <c r="E12" s="770" t="s">
        <v>18</v>
      </c>
      <c r="F12" s="770"/>
      <c r="G12" s="770"/>
    </row>
    <row r="13" spans="1:7">
      <c r="A13" s="770"/>
      <c r="B13" s="770"/>
      <c r="C13" s="770"/>
      <c r="D13" s="770"/>
      <c r="E13" s="770" t="s">
        <v>19</v>
      </c>
      <c r="F13" s="770"/>
      <c r="G13" s="770"/>
    </row>
    <row r="14" spans="1:7">
      <c r="A14" s="770"/>
      <c r="B14" s="770"/>
      <c r="C14" s="770"/>
      <c r="D14" s="770"/>
      <c r="E14" s="770" t="s">
        <v>20</v>
      </c>
      <c r="F14" s="770"/>
      <c r="G14" s="770"/>
    </row>
    <row r="15" spans="1:7">
      <c r="A15" s="770"/>
      <c r="B15" s="770"/>
      <c r="C15" s="770"/>
      <c r="D15" s="770"/>
      <c r="E15" s="770" t="s">
        <v>21</v>
      </c>
      <c r="F15" s="770"/>
      <c r="G15" s="770"/>
    </row>
    <row r="16" spans="1:7">
      <c r="A16" s="771">
        <v>43647</v>
      </c>
      <c r="B16" s="770"/>
      <c r="C16" s="770" t="s">
        <v>22</v>
      </c>
      <c r="D16" s="770"/>
      <c r="E16" s="770" t="s">
        <v>7</v>
      </c>
      <c r="F16" s="770"/>
      <c r="G16" s="770"/>
    </row>
    <row r="17" spans="1:5">
      <c r="A17" s="771">
        <v>43648</v>
      </c>
      <c r="B17" s="770"/>
      <c r="C17" s="770"/>
      <c r="D17" s="770"/>
      <c r="E17" s="770" t="s">
        <v>15</v>
      </c>
    </row>
    <row r="18" spans="1:5">
      <c r="A18" s="771">
        <v>43713</v>
      </c>
      <c r="B18" s="770"/>
      <c r="C18" s="770" t="s">
        <v>23</v>
      </c>
      <c r="D18" s="770"/>
      <c r="E18" s="770" t="s">
        <v>24</v>
      </c>
    </row>
    <row r="19" spans="1:5">
      <c r="A19" s="771">
        <v>43713</v>
      </c>
      <c r="B19" s="770"/>
      <c r="C19" s="770" t="s">
        <v>16</v>
      </c>
      <c r="D19" s="770"/>
      <c r="E19" s="770" t="s">
        <v>25</v>
      </c>
    </row>
    <row r="20" spans="1:5">
      <c r="A20" s="771">
        <v>43717</v>
      </c>
      <c r="B20" s="770"/>
      <c r="C20" s="770" t="s">
        <v>26</v>
      </c>
      <c r="D20" s="770"/>
      <c r="E20" s="770" t="s">
        <v>27</v>
      </c>
    </row>
    <row r="21" spans="1:5" ht="30">
      <c r="A21" s="771">
        <v>43717</v>
      </c>
      <c r="B21" s="770"/>
      <c r="C21" s="770" t="s">
        <v>28</v>
      </c>
      <c r="D21" s="770"/>
      <c r="E21" s="772" t="s">
        <v>29</v>
      </c>
    </row>
    <row r="22" spans="1:5">
      <c r="A22" s="771">
        <v>43717</v>
      </c>
      <c r="B22" s="770"/>
      <c r="C22" s="770" t="s">
        <v>16</v>
      </c>
      <c r="D22" s="770"/>
      <c r="E22" s="770" t="s">
        <v>30</v>
      </c>
    </row>
    <row r="23" spans="1:5">
      <c r="A23" s="771">
        <v>43717</v>
      </c>
      <c r="B23" s="770"/>
      <c r="C23" s="770" t="s">
        <v>31</v>
      </c>
      <c r="D23" s="770"/>
      <c r="E23" s="770" t="s">
        <v>32</v>
      </c>
    </row>
    <row r="24" spans="1:5">
      <c r="A24" s="771">
        <v>43720</v>
      </c>
      <c r="B24" s="770"/>
      <c r="C24" s="770" t="s">
        <v>28</v>
      </c>
      <c r="D24" s="770"/>
      <c r="E24" s="770" t="s">
        <v>33</v>
      </c>
    </row>
    <row r="25" spans="1:5">
      <c r="A25" s="771">
        <v>43783</v>
      </c>
      <c r="B25" s="770"/>
      <c r="C25" s="770" t="s">
        <v>23</v>
      </c>
      <c r="D25" s="770"/>
      <c r="E25" s="770" t="s">
        <v>34</v>
      </c>
    </row>
    <row r="26" spans="1:5" ht="30">
      <c r="A26" s="771">
        <v>43784</v>
      </c>
      <c r="B26" s="770"/>
      <c r="C26" s="770" t="s">
        <v>16</v>
      </c>
      <c r="D26" s="770"/>
      <c r="E26" s="772" t="s">
        <v>35</v>
      </c>
    </row>
    <row r="27" spans="1:5">
      <c r="A27" s="771"/>
      <c r="B27" s="770"/>
      <c r="C27" s="770"/>
      <c r="D27" s="770"/>
      <c r="E27" s="770" t="s">
        <v>36</v>
      </c>
    </row>
    <row r="28" spans="1:5">
      <c r="A28" s="771">
        <v>43784</v>
      </c>
      <c r="B28" s="770"/>
      <c r="C28" s="770" t="s">
        <v>14</v>
      </c>
      <c r="D28" s="770"/>
      <c r="E28" s="770" t="s">
        <v>37</v>
      </c>
    </row>
    <row r="29" spans="1:5">
      <c r="A29" s="770"/>
      <c r="B29" s="770"/>
      <c r="C29" s="770" t="s">
        <v>16</v>
      </c>
      <c r="D29" s="770"/>
      <c r="E29" s="770" t="s">
        <v>38</v>
      </c>
    </row>
    <row r="30" spans="1:5">
      <c r="A30" s="771">
        <v>43787</v>
      </c>
      <c r="B30" s="770"/>
      <c r="C30" s="770" t="s">
        <v>16</v>
      </c>
      <c r="D30" s="770"/>
      <c r="E30" s="770" t="s">
        <v>39</v>
      </c>
    </row>
    <row r="31" spans="1:5" ht="30">
      <c r="A31" s="771">
        <v>43797</v>
      </c>
      <c r="B31" s="770"/>
      <c r="C31" s="770" t="s">
        <v>40</v>
      </c>
      <c r="D31" s="770"/>
      <c r="E31" s="772" t="s">
        <v>41</v>
      </c>
    </row>
    <row r="32" spans="1:5" ht="30">
      <c r="A32" s="770"/>
      <c r="B32" s="770"/>
      <c r="C32" s="770" t="s">
        <v>26</v>
      </c>
      <c r="D32" s="770"/>
      <c r="E32" s="772" t="s">
        <v>42</v>
      </c>
    </row>
    <row r="33" spans="1:14" ht="30">
      <c r="A33" s="770"/>
      <c r="B33" s="770"/>
      <c r="C33" s="770" t="s">
        <v>31</v>
      </c>
      <c r="D33" s="770"/>
      <c r="E33" s="772" t="s">
        <v>42</v>
      </c>
      <c r="F33" s="770"/>
      <c r="G33" s="770"/>
      <c r="H33" s="770"/>
      <c r="I33" s="770"/>
      <c r="J33" s="770"/>
      <c r="K33" s="770"/>
      <c r="L33" s="770"/>
      <c r="M33" s="770"/>
      <c r="N33" s="770"/>
    </row>
    <row r="34" spans="1:14" ht="15.75">
      <c r="A34" s="770">
        <v>2021</v>
      </c>
      <c r="B34" s="770"/>
      <c r="C34" s="770"/>
      <c r="D34" s="770"/>
      <c r="E34" s="770" t="s">
        <v>43</v>
      </c>
      <c r="F34" s="770"/>
      <c r="G34" s="770"/>
      <c r="H34" s="770"/>
      <c r="I34" s="770"/>
      <c r="J34" s="770"/>
      <c r="K34" s="770"/>
      <c r="L34" s="770"/>
      <c r="M34" s="770"/>
      <c r="N34" s="426" t="s">
        <v>44</v>
      </c>
    </row>
    <row r="35" spans="1:14">
      <c r="A35" s="770">
        <v>2021</v>
      </c>
      <c r="B35" s="770"/>
      <c r="C35" s="770"/>
      <c r="D35" s="770"/>
      <c r="E35" s="770" t="s">
        <v>45</v>
      </c>
      <c r="F35" s="770"/>
      <c r="G35" s="770"/>
      <c r="H35" s="770"/>
      <c r="I35" s="770"/>
      <c r="J35" s="770"/>
      <c r="K35" s="770"/>
      <c r="L35" s="770"/>
      <c r="M35" s="770"/>
      <c r="N35" s="770"/>
    </row>
    <row r="36" spans="1:14">
      <c r="A36" s="770">
        <v>2021</v>
      </c>
      <c r="B36" s="770"/>
      <c r="C36" s="770"/>
      <c r="D36" s="770"/>
      <c r="E36" s="770" t="s">
        <v>46</v>
      </c>
      <c r="F36" s="770"/>
      <c r="G36" s="770"/>
      <c r="H36" s="770"/>
      <c r="I36" s="770"/>
      <c r="J36" s="770"/>
      <c r="K36" s="770"/>
      <c r="L36" s="770"/>
      <c r="M36" s="770"/>
      <c r="N36" s="770"/>
    </row>
    <row r="37" spans="1:14" ht="15.75">
      <c r="A37" s="770">
        <v>2021</v>
      </c>
      <c r="B37" s="770"/>
      <c r="C37" s="770"/>
      <c r="D37" s="770"/>
      <c r="E37" s="770" t="s">
        <v>47</v>
      </c>
      <c r="F37" s="426" t="s">
        <v>48</v>
      </c>
      <c r="G37" s="770"/>
      <c r="H37" s="770"/>
      <c r="I37" s="770"/>
      <c r="J37" s="770"/>
      <c r="K37" s="770"/>
      <c r="L37" s="770"/>
      <c r="M37" s="770"/>
      <c r="N37" s="770"/>
    </row>
    <row r="38" spans="1:14" ht="28.5" customHeight="1">
      <c r="A38" s="773" t="s">
        <v>49</v>
      </c>
      <c r="B38" s="773"/>
      <c r="C38" s="773"/>
      <c r="D38" s="773"/>
      <c r="E38" s="773" t="s">
        <v>50</v>
      </c>
      <c r="F38" s="773"/>
      <c r="G38" s="773"/>
      <c r="H38" s="770"/>
      <c r="I38" s="770"/>
      <c r="J38" s="770"/>
      <c r="K38" s="770"/>
      <c r="L38" s="770"/>
      <c r="M38" s="770"/>
      <c r="N38" s="770"/>
    </row>
    <row r="39" spans="1:14">
      <c r="A39" s="770"/>
      <c r="B39" s="770"/>
      <c r="C39" s="770"/>
      <c r="D39" s="770"/>
      <c r="E39" s="770"/>
      <c r="F39" s="770"/>
      <c r="G39" s="770"/>
      <c r="H39" s="770"/>
      <c r="I39" s="770"/>
      <c r="J39" s="770"/>
      <c r="K39" s="770"/>
      <c r="L39" s="770"/>
      <c r="M39" s="770"/>
      <c r="N39" s="770"/>
    </row>
    <row r="40" spans="1:14">
      <c r="A40" s="774">
        <v>2022</v>
      </c>
      <c r="B40" s="774"/>
      <c r="C40" s="774"/>
      <c r="D40" s="774"/>
      <c r="E40" s="774" t="s">
        <v>51</v>
      </c>
      <c r="F40" s="770"/>
      <c r="G40" s="770"/>
      <c r="H40" s="770"/>
      <c r="I40" s="770"/>
      <c r="J40" s="770"/>
      <c r="K40" s="770"/>
      <c r="L40" s="770"/>
      <c r="M40" s="770"/>
      <c r="N40" s="770"/>
    </row>
    <row r="41" spans="1:14">
      <c r="A41" s="774">
        <v>2022</v>
      </c>
      <c r="B41" s="774"/>
      <c r="C41" s="774"/>
      <c r="D41" s="774"/>
      <c r="E41" s="774" t="s">
        <v>52</v>
      </c>
      <c r="F41" s="770"/>
      <c r="G41" s="770"/>
      <c r="H41" s="770"/>
      <c r="I41" s="770"/>
      <c r="J41" s="770"/>
      <c r="K41" s="770"/>
      <c r="L41" s="770"/>
      <c r="M41" s="770"/>
      <c r="N41" s="770"/>
    </row>
    <row r="42" spans="1:14">
      <c r="A42" s="774">
        <v>2022</v>
      </c>
      <c r="B42" s="774"/>
      <c r="C42" s="774"/>
      <c r="D42" s="774"/>
      <c r="E42" s="774" t="s">
        <v>53</v>
      </c>
      <c r="F42" s="770"/>
      <c r="G42" s="770"/>
      <c r="H42" s="770"/>
      <c r="I42" s="770"/>
      <c r="J42" s="770"/>
      <c r="K42" s="770"/>
      <c r="L42" s="770"/>
      <c r="M42" s="770"/>
      <c r="N42" s="770"/>
    </row>
  </sheetData>
  <hyperlinks>
    <hyperlink ref="N34" r:id="rId1" display="https://www.lagtinget.ax/dokument/lagforslag-1-2020-2021-48269" xr:uid="{00000000-0004-0000-0000-000000000000}"/>
    <hyperlink ref="F37" r:id="rId2" display="https://www.regeringen.ax/sites/www.regeringen.ax/files/attachments/law/afs2021_nr136.pdf" xr:uid="{00000000-0004-0000-0000-000001000000}"/>
  </hyperlinks>
  <pageMargins left="0.7" right="0.7" top="0.75" bottom="0.75" header="0.3" footer="0.3"/>
  <pageSetup paperSize="9"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26"/>
  <sheetViews>
    <sheetView zoomScaleNormal="100" workbookViewId="0">
      <selection activeCell="B23" sqref="B23"/>
    </sheetView>
  </sheetViews>
  <sheetFormatPr defaultColWidth="8.77734375" defaultRowHeight="15"/>
  <cols>
    <col min="1" max="1" width="16.109375" style="5" customWidth="1"/>
    <col min="2" max="2" width="12.77734375" style="5" customWidth="1"/>
    <col min="3" max="16384" width="8.77734375" style="5"/>
  </cols>
  <sheetData>
    <row r="1" spans="1:3" ht="15.75">
      <c r="A1" s="11" t="s">
        <v>306</v>
      </c>
      <c r="B1" s="770"/>
      <c r="C1" s="770"/>
    </row>
    <row r="2" spans="1:3">
      <c r="A2" s="770" t="s">
        <v>307</v>
      </c>
      <c r="B2" s="770"/>
      <c r="C2" s="770"/>
    </row>
    <row r="4" spans="1:3">
      <c r="A4" s="246" t="e">
        <f>#REF!</f>
        <v>#REF!</v>
      </c>
      <c r="B4" s="770"/>
      <c r="C4" s="770"/>
    </row>
    <row r="5" spans="1:3">
      <c r="A5" s="246"/>
      <c r="B5" s="770"/>
      <c r="C5" s="770"/>
    </row>
    <row r="6" spans="1:3" ht="24.75">
      <c r="A6" s="105"/>
      <c r="B6" s="250" t="s">
        <v>308</v>
      </c>
      <c r="C6" s="770"/>
    </row>
    <row r="7" spans="1:3">
      <c r="A7" s="149" t="s">
        <v>92</v>
      </c>
      <c r="B7" s="241">
        <f>'Skattekompl data'!G124</f>
        <v>0</v>
      </c>
      <c r="C7" s="806"/>
    </row>
    <row r="8" spans="1:3">
      <c r="A8" s="149" t="s">
        <v>93</v>
      </c>
      <c r="B8" s="241">
        <f>'Skattekompl data'!G125</f>
        <v>1195978.18</v>
      </c>
      <c r="C8" s="806"/>
    </row>
    <row r="9" spans="1:3">
      <c r="A9" s="149" t="s">
        <v>94</v>
      </c>
      <c r="B9" s="241">
        <f>'Skattekompl data'!G126</f>
        <v>2688092.09</v>
      </c>
      <c r="C9" s="806"/>
    </row>
    <row r="10" spans="1:3">
      <c r="A10" s="149" t="s">
        <v>95</v>
      </c>
      <c r="B10" s="241">
        <f>'Skattekompl data'!G127</f>
        <v>500192.63</v>
      </c>
      <c r="C10" s="806"/>
    </row>
    <row r="11" spans="1:3">
      <c r="A11" s="149" t="s">
        <v>96</v>
      </c>
      <c r="B11" s="241">
        <f>'Skattekompl data'!G128</f>
        <v>1027634.86</v>
      </c>
      <c r="C11" s="806"/>
    </row>
    <row r="12" spans="1:3">
      <c r="A12" s="149" t="s">
        <v>97</v>
      </c>
      <c r="B12" s="241">
        <f>'Skattekompl data'!G129</f>
        <v>2290742.88</v>
      </c>
      <c r="C12" s="806"/>
    </row>
    <row r="13" spans="1:3">
      <c r="A13" s="149" t="s">
        <v>98</v>
      </c>
      <c r="B13" s="241">
        <f>'Skattekompl data'!G130</f>
        <v>2764995.3</v>
      </c>
      <c r="C13" s="806"/>
    </row>
    <row r="14" spans="1:3">
      <c r="A14" s="149" t="s">
        <v>99</v>
      </c>
      <c r="B14" s="241">
        <f>'Skattekompl data'!G131</f>
        <v>294027.71000000002</v>
      </c>
      <c r="C14" s="806"/>
    </row>
    <row r="15" spans="1:3">
      <c r="A15" s="149" t="s">
        <v>100</v>
      </c>
      <c r="B15" s="241">
        <f>'Skattekompl data'!G132</f>
        <v>321296.34999999998</v>
      </c>
      <c r="C15" s="806"/>
    </row>
    <row r="16" spans="1:3">
      <c r="A16" s="149" t="s">
        <v>101</v>
      </c>
      <c r="B16" s="241">
        <f>'Skattekompl data'!G133</f>
        <v>1882731.68</v>
      </c>
      <c r="C16" s="806"/>
    </row>
    <row r="17" spans="1:3">
      <c r="A17" s="149" t="s">
        <v>102</v>
      </c>
      <c r="B17" s="241">
        <f>'Skattekompl data'!G134</f>
        <v>307953.59000000003</v>
      </c>
      <c r="C17" s="806"/>
    </row>
    <row r="18" spans="1:3">
      <c r="A18" s="149" t="s">
        <v>103</v>
      </c>
      <c r="B18" s="241">
        <f>'Skattekompl data'!G135</f>
        <v>1347993.15</v>
      </c>
      <c r="C18" s="806"/>
    </row>
    <row r="19" spans="1:3">
      <c r="A19" s="149" t="s">
        <v>104</v>
      </c>
      <c r="B19" s="241">
        <f>'Skattekompl data'!G136</f>
        <v>80861.649999999994</v>
      </c>
      <c r="C19" s="806"/>
    </row>
    <row r="20" spans="1:3">
      <c r="A20" s="149" t="s">
        <v>105</v>
      </c>
      <c r="B20" s="241">
        <f>'Skattekompl data'!G137</f>
        <v>1179115.1000000001</v>
      </c>
      <c r="C20" s="806"/>
    </row>
    <row r="21" spans="1:3">
      <c r="A21" s="149" t="s">
        <v>106</v>
      </c>
      <c r="B21" s="241">
        <f>'Skattekompl data'!G138</f>
        <v>672104.59</v>
      </c>
      <c r="C21" s="806"/>
    </row>
    <row r="22" spans="1:3">
      <c r="A22" s="149" t="s">
        <v>107</v>
      </c>
      <c r="B22" s="241">
        <f>'Skattekompl data'!G139</f>
        <v>366425.93</v>
      </c>
      <c r="C22" s="806"/>
    </row>
    <row r="23" spans="1:3">
      <c r="A23" s="208" t="s">
        <v>108</v>
      </c>
      <c r="B23" s="245">
        <f>SUM(B7:B22)</f>
        <v>16920145.690000001</v>
      </c>
      <c r="C23" s="770"/>
    </row>
    <row r="26" spans="1:3">
      <c r="A26" s="86"/>
      <c r="B26" s="770"/>
      <c r="C26" s="770"/>
    </row>
  </sheetData>
  <pageMargins left="0.7" right="0.7" top="0.75" bottom="0.75" header="0.3" footer="0.3"/>
  <pageSetup paperSize="9" orientation="landscape"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G323"/>
  <sheetViews>
    <sheetView topLeftCell="A85" zoomScale="110" zoomScaleNormal="110" zoomScalePageLayoutView="110" workbookViewId="0">
      <selection activeCell="E291" sqref="E291"/>
    </sheetView>
  </sheetViews>
  <sheetFormatPr defaultColWidth="8.77734375" defaultRowHeight="15"/>
  <cols>
    <col min="1" max="2" width="12" style="362" customWidth="1"/>
    <col min="3" max="3" width="11.109375" style="362" bestFit="1" customWidth="1"/>
    <col min="4" max="4" width="10.109375" style="362" bestFit="1" customWidth="1"/>
    <col min="5" max="5" width="10.6640625" style="362" customWidth="1"/>
    <col min="6" max="6" width="10.5546875" style="362" bestFit="1" customWidth="1"/>
    <col min="7" max="7" width="13" style="362" bestFit="1" customWidth="1"/>
    <col min="8" max="9" width="10" style="362" bestFit="1" customWidth="1"/>
    <col min="10" max="10" width="10.77734375" style="362" bestFit="1" customWidth="1"/>
    <col min="11" max="11" width="10" style="362" bestFit="1" customWidth="1"/>
    <col min="12" max="12" width="10.44140625" style="362" customWidth="1"/>
    <col min="13" max="13" width="10.21875" style="362" customWidth="1"/>
    <col min="14" max="16" width="8.77734375" style="362"/>
    <col min="17" max="17" width="9.88671875" style="362" bestFit="1" customWidth="1"/>
    <col min="18" max="16384" width="8.77734375" style="362"/>
  </cols>
  <sheetData>
    <row r="1" spans="1:17" ht="15.75">
      <c r="A1" s="11" t="s">
        <v>306</v>
      </c>
      <c r="B1" s="770"/>
      <c r="C1" s="770"/>
      <c r="D1" s="770"/>
      <c r="E1" s="770"/>
      <c r="F1" s="770"/>
      <c r="G1" s="770"/>
      <c r="H1" s="770"/>
      <c r="I1" s="770"/>
      <c r="J1" s="770"/>
      <c r="K1" s="770"/>
      <c r="L1" s="770"/>
      <c r="M1" s="770"/>
      <c r="N1" s="770"/>
      <c r="O1" s="770"/>
      <c r="P1" s="770"/>
      <c r="Q1" s="770"/>
    </row>
    <row r="2" spans="1:17">
      <c r="A2" s="770" t="s">
        <v>307</v>
      </c>
      <c r="B2" s="770"/>
      <c r="C2" s="770"/>
      <c r="D2" s="770"/>
      <c r="E2" s="770"/>
      <c r="F2" s="16"/>
      <c r="G2" s="770"/>
      <c r="H2" s="770"/>
      <c r="I2" s="770"/>
      <c r="J2" s="770"/>
      <c r="K2" s="770"/>
      <c r="L2" s="770"/>
      <c r="M2" s="770"/>
      <c r="N2" s="770"/>
      <c r="O2" s="770"/>
      <c r="P2" s="770"/>
      <c r="Q2" s="770"/>
    </row>
    <row r="3" spans="1:17">
      <c r="A3" s="770"/>
      <c r="B3" s="770"/>
      <c r="C3" s="770"/>
      <c r="D3" s="770"/>
      <c r="E3" s="770"/>
      <c r="F3" s="16"/>
      <c r="G3" s="770"/>
      <c r="H3" s="770"/>
      <c r="I3" s="770"/>
      <c r="J3" s="770"/>
      <c r="K3" s="770"/>
      <c r="L3" s="770"/>
      <c r="M3" s="770"/>
      <c r="N3" s="770"/>
      <c r="O3" s="770"/>
      <c r="P3" s="770"/>
      <c r="Q3" s="770"/>
    </row>
    <row r="4" spans="1:17">
      <c r="A4" s="53" t="s">
        <v>309</v>
      </c>
      <c r="B4" s="85"/>
      <c r="C4" s="85"/>
      <c r="D4" s="85"/>
      <c r="E4" s="85"/>
      <c r="F4" s="85"/>
      <c r="G4" s="85"/>
      <c r="H4" s="85"/>
      <c r="I4" s="770"/>
      <c r="J4" s="770"/>
      <c r="K4" s="770"/>
      <c r="L4" s="770"/>
      <c r="M4" s="770"/>
      <c r="N4" s="770"/>
      <c r="O4" s="770"/>
      <c r="P4" s="770"/>
      <c r="Q4" s="770"/>
    </row>
    <row r="5" spans="1:17">
      <c r="A5" s="53" t="s">
        <v>310</v>
      </c>
      <c r="B5" s="85"/>
      <c r="C5" s="85"/>
      <c r="D5" s="85"/>
      <c r="E5" s="85"/>
      <c r="F5" s="373"/>
      <c r="G5" s="85"/>
      <c r="H5" s="85"/>
      <c r="I5" s="770"/>
      <c r="J5" s="770"/>
      <c r="K5" s="770"/>
      <c r="L5" s="770"/>
      <c r="M5" s="770"/>
      <c r="N5" s="770"/>
      <c r="O5" s="770"/>
      <c r="P5" s="770"/>
      <c r="Q5" s="770"/>
    </row>
    <row r="6" spans="1:17">
      <c r="A6" s="85"/>
      <c r="B6" s="85"/>
      <c r="C6" s="85"/>
      <c r="D6" s="85"/>
      <c r="E6" s="85"/>
      <c r="F6" s="85"/>
      <c r="G6" s="85"/>
      <c r="H6" s="85"/>
      <c r="I6" s="770"/>
      <c r="J6" s="770"/>
      <c r="K6" s="770"/>
      <c r="L6" s="770"/>
      <c r="M6" s="770"/>
      <c r="N6" s="770"/>
      <c r="O6" s="770"/>
      <c r="P6" s="770"/>
      <c r="Q6" s="770"/>
    </row>
    <row r="7" spans="1:17">
      <c r="A7" s="103" t="s">
        <v>311</v>
      </c>
      <c r="B7" s="363"/>
      <c r="C7" s="105"/>
      <c r="D7" s="105"/>
      <c r="E7" s="105"/>
      <c r="F7" s="550"/>
      <c r="G7" s="85"/>
      <c r="H7" s="447"/>
      <c r="I7" s="770"/>
      <c r="J7" s="770"/>
      <c r="K7" s="770"/>
      <c r="L7" s="770"/>
      <c r="M7" s="770"/>
      <c r="N7" s="770"/>
      <c r="O7" s="770"/>
      <c r="P7" s="770"/>
      <c r="Q7" s="770"/>
    </row>
    <row r="8" spans="1:17" ht="15.75">
      <c r="A8" s="103"/>
      <c r="B8" s="324">
        <v>2018</v>
      </c>
      <c r="C8" s="324">
        <v>2019</v>
      </c>
      <c r="D8" s="324">
        <v>2020</v>
      </c>
      <c r="E8" s="324">
        <v>2021</v>
      </c>
      <c r="F8" s="324">
        <v>2022</v>
      </c>
      <c r="G8" s="85"/>
      <c r="H8" s="447"/>
      <c r="I8"/>
      <c r="J8" s="770"/>
      <c r="K8" s="770"/>
      <c r="L8" s="770"/>
      <c r="M8" s="452"/>
      <c r="N8" s="452"/>
      <c r="O8" s="452"/>
      <c r="P8" s="453"/>
      <c r="Q8" s="453"/>
    </row>
    <row r="9" spans="1:17" ht="15.75">
      <c r="A9" s="104" t="s">
        <v>92</v>
      </c>
      <c r="B9" s="93">
        <v>1381792.16</v>
      </c>
      <c r="C9" s="93">
        <v>1370857.21</v>
      </c>
      <c r="D9" s="93">
        <v>1534168.66</v>
      </c>
      <c r="E9" s="23">
        <v>1851233.38</v>
      </c>
      <c r="F9" s="23">
        <v>1836145.93</v>
      </c>
      <c r="G9" s="804"/>
      <c r="H9" s="448"/>
      <c r="I9" s="449"/>
      <c r="J9" s="770"/>
      <c r="K9" s="770"/>
      <c r="L9" s="770"/>
      <c r="M9" s="93"/>
      <c r="N9" s="93"/>
      <c r="O9" s="93"/>
      <c r="P9" s="93"/>
      <c r="Q9" s="23"/>
    </row>
    <row r="10" spans="1:17" ht="15.75">
      <c r="A10" s="104" t="s">
        <v>93</v>
      </c>
      <c r="B10" s="93">
        <v>2562324.5499999998</v>
      </c>
      <c r="C10" s="93">
        <v>2645732.21</v>
      </c>
      <c r="D10" s="93">
        <v>2738690.15</v>
      </c>
      <c r="E10" s="23">
        <v>3015795.72</v>
      </c>
      <c r="F10" s="23">
        <v>3045650.73</v>
      </c>
      <c r="G10" s="804"/>
      <c r="H10" s="448"/>
      <c r="I10" s="449"/>
      <c r="J10" s="770"/>
      <c r="K10" s="770"/>
      <c r="L10" s="770"/>
      <c r="M10" s="93"/>
      <c r="N10" s="93"/>
      <c r="O10" s="93"/>
      <c r="P10" s="93"/>
      <c r="Q10" s="23"/>
    </row>
    <row r="11" spans="1:17" ht="15.75">
      <c r="A11" s="104" t="s">
        <v>94</v>
      </c>
      <c r="B11" s="93">
        <v>8073236.3300000001</v>
      </c>
      <c r="C11" s="93">
        <v>8089630.9000000004</v>
      </c>
      <c r="D11" s="93">
        <v>8237998.2199999997</v>
      </c>
      <c r="E11" s="23">
        <v>8848344.6600000001</v>
      </c>
      <c r="F11" s="23">
        <v>9461355.2599999998</v>
      </c>
      <c r="G11" s="804"/>
      <c r="H11" s="448"/>
      <c r="I11" s="449"/>
      <c r="J11" s="770"/>
      <c r="K11" s="770"/>
      <c r="L11" s="770"/>
      <c r="M11" s="93"/>
      <c r="N11" s="93"/>
      <c r="O11" s="93"/>
      <c r="P11" s="93"/>
      <c r="Q11" s="23"/>
    </row>
    <row r="12" spans="1:17" ht="15.75">
      <c r="A12" s="104" t="s">
        <v>95</v>
      </c>
      <c r="B12" s="93">
        <v>1386902.35</v>
      </c>
      <c r="C12" s="93">
        <v>1442134.35</v>
      </c>
      <c r="D12" s="93">
        <v>1450755.61</v>
      </c>
      <c r="E12" s="23">
        <v>1452235.45</v>
      </c>
      <c r="F12" s="23">
        <v>1446331.9</v>
      </c>
      <c r="G12" s="804"/>
      <c r="H12" s="448"/>
      <c r="I12" s="449"/>
      <c r="J12" s="770"/>
      <c r="K12" s="770"/>
      <c r="L12" s="770"/>
      <c r="M12" s="93"/>
      <c r="N12" s="93"/>
      <c r="O12" s="93"/>
      <c r="P12" s="93"/>
      <c r="Q12" s="23"/>
    </row>
    <row r="13" spans="1:17" ht="15.75">
      <c r="A13" s="104" t="s">
        <v>96</v>
      </c>
      <c r="B13" s="93">
        <v>1037868.07</v>
      </c>
      <c r="C13" s="93">
        <v>1135099.51</v>
      </c>
      <c r="D13" s="93">
        <v>1124655.55</v>
      </c>
      <c r="E13" s="23">
        <v>1200259.18</v>
      </c>
      <c r="F13" s="23">
        <v>1186684.1399999999</v>
      </c>
      <c r="G13" s="804"/>
      <c r="H13" s="448"/>
      <c r="I13" s="449"/>
      <c r="J13" s="770"/>
      <c r="K13" s="770"/>
      <c r="L13" s="770"/>
      <c r="M13" s="93"/>
      <c r="N13" s="93"/>
      <c r="O13" s="93"/>
      <c r="P13" s="93"/>
      <c r="Q13" s="23"/>
    </row>
    <row r="14" spans="1:17" ht="15.75">
      <c r="A14" s="104" t="s">
        <v>97</v>
      </c>
      <c r="B14" s="93">
        <v>3972983.9</v>
      </c>
      <c r="C14" s="93">
        <v>4125732.91</v>
      </c>
      <c r="D14" s="93">
        <v>4269604.12</v>
      </c>
      <c r="E14" s="23">
        <v>4648811.93</v>
      </c>
      <c r="F14" s="23">
        <v>4870721.57</v>
      </c>
      <c r="G14" s="804"/>
      <c r="H14" s="448"/>
      <c r="I14" s="449"/>
      <c r="J14" s="770"/>
      <c r="K14" s="770"/>
      <c r="L14" s="770"/>
      <c r="M14" s="93"/>
      <c r="N14" s="93"/>
      <c r="O14" s="93"/>
      <c r="P14" s="93"/>
      <c r="Q14" s="23"/>
    </row>
    <row r="15" spans="1:17" ht="15.75">
      <c r="A15" s="104" t="s">
        <v>98</v>
      </c>
      <c r="B15" s="93">
        <v>15375760.51</v>
      </c>
      <c r="C15" s="93">
        <v>16319335.41</v>
      </c>
      <c r="D15" s="93">
        <v>17149949.43</v>
      </c>
      <c r="E15" s="23">
        <v>18091931.199999999</v>
      </c>
      <c r="F15" s="23">
        <v>19085359.780000001</v>
      </c>
      <c r="G15" s="804"/>
      <c r="H15" s="448"/>
      <c r="I15" s="449"/>
      <c r="J15" s="770"/>
      <c r="K15" s="770"/>
      <c r="L15" s="770"/>
      <c r="M15" s="93"/>
      <c r="N15" s="93"/>
      <c r="O15" s="93"/>
      <c r="P15" s="93"/>
      <c r="Q15" s="23"/>
    </row>
    <row r="16" spans="1:17" ht="15.75">
      <c r="A16" s="104" t="s">
        <v>99</v>
      </c>
      <c r="B16" s="93">
        <v>1033593.72</v>
      </c>
      <c r="C16" s="93">
        <v>1080511.8799999999</v>
      </c>
      <c r="D16" s="93">
        <v>1084547.94</v>
      </c>
      <c r="E16" s="23">
        <v>1100029.4099999999</v>
      </c>
      <c r="F16" s="23">
        <v>1136036.53</v>
      </c>
      <c r="G16" s="804"/>
      <c r="H16" s="448"/>
      <c r="I16" s="449"/>
      <c r="J16" s="770"/>
      <c r="K16" s="770"/>
      <c r="L16" s="770"/>
      <c r="M16" s="93"/>
      <c r="N16" s="93"/>
      <c r="O16" s="93"/>
      <c r="P16" s="93"/>
      <c r="Q16" s="23"/>
    </row>
    <row r="17" spans="1:20" ht="15.75">
      <c r="A17" s="104" t="s">
        <v>100</v>
      </c>
      <c r="B17" s="93">
        <v>718849.48</v>
      </c>
      <c r="C17" s="93">
        <v>697891.37</v>
      </c>
      <c r="D17" s="93">
        <v>682528.75</v>
      </c>
      <c r="E17" s="23">
        <v>809512.49</v>
      </c>
      <c r="F17" s="23">
        <v>667732.12</v>
      </c>
      <c r="G17" s="804"/>
      <c r="H17" s="448"/>
      <c r="I17" s="449"/>
      <c r="J17" s="770"/>
      <c r="K17" s="770"/>
      <c r="L17" s="770"/>
      <c r="M17" s="93"/>
      <c r="N17" s="93"/>
      <c r="O17" s="93"/>
      <c r="P17" s="93"/>
      <c r="Q17" s="23"/>
      <c r="R17" s="770"/>
      <c r="S17" s="770"/>
      <c r="T17" s="770"/>
    </row>
    <row r="18" spans="1:20" ht="15.75">
      <c r="A18" s="104" t="s">
        <v>101</v>
      </c>
      <c r="B18" s="93">
        <v>6166536.9100000001</v>
      </c>
      <c r="C18" s="93">
        <v>6206267.9900000002</v>
      </c>
      <c r="D18" s="93">
        <v>6537844.9900000002</v>
      </c>
      <c r="E18" s="23">
        <v>7106191.2999999998</v>
      </c>
      <c r="F18" s="23">
        <v>7489169.2800000003</v>
      </c>
      <c r="G18" s="804"/>
      <c r="H18" s="448"/>
      <c r="I18" s="449"/>
      <c r="J18" s="770"/>
      <c r="K18" s="770"/>
      <c r="L18" s="770"/>
      <c r="M18" s="93"/>
      <c r="N18" s="93"/>
      <c r="O18" s="93"/>
      <c r="P18" s="93"/>
      <c r="Q18" s="23"/>
      <c r="R18" s="770"/>
      <c r="S18" s="770"/>
      <c r="T18" s="770"/>
    </row>
    <row r="19" spans="1:20" ht="15.75">
      <c r="A19" s="104" t="s">
        <v>102</v>
      </c>
      <c r="B19" s="93">
        <v>1280025.1100000001</v>
      </c>
      <c r="C19" s="93">
        <v>1326547.3700000001</v>
      </c>
      <c r="D19" s="93">
        <v>1309894.98</v>
      </c>
      <c r="E19" s="23">
        <v>1407273.38</v>
      </c>
      <c r="F19" s="23">
        <v>1451424.53</v>
      </c>
      <c r="G19" s="804"/>
      <c r="H19" s="448"/>
      <c r="I19" s="449"/>
      <c r="J19" s="770"/>
      <c r="K19" s="770"/>
      <c r="L19" s="770"/>
      <c r="M19" s="93"/>
      <c r="N19" s="93"/>
      <c r="O19" s="93"/>
      <c r="P19" s="93"/>
      <c r="Q19" s="23"/>
      <c r="R19" s="770"/>
      <c r="S19" s="770"/>
      <c r="T19" s="770"/>
    </row>
    <row r="20" spans="1:20" ht="15.75">
      <c r="A20" s="104" t="s">
        <v>107</v>
      </c>
      <c r="B20" s="93">
        <v>41299417.530000001</v>
      </c>
      <c r="C20" s="93">
        <v>41617727.32</v>
      </c>
      <c r="D20" s="93">
        <v>41669610.390000001</v>
      </c>
      <c r="E20" s="23">
        <v>43343000.359999999</v>
      </c>
      <c r="F20" s="23">
        <v>44015938.979999997</v>
      </c>
      <c r="G20" s="804"/>
      <c r="H20" s="448"/>
      <c r="I20" s="449"/>
      <c r="J20" s="770"/>
      <c r="K20" s="770"/>
      <c r="L20" s="770"/>
      <c r="M20" s="93"/>
      <c r="N20" s="93"/>
      <c r="O20" s="93"/>
      <c r="P20" s="93"/>
      <c r="Q20" s="23"/>
      <c r="R20" s="770"/>
      <c r="S20" s="770"/>
      <c r="T20" s="770"/>
    </row>
    <row r="21" spans="1:20" ht="15.75">
      <c r="A21" s="104" t="s">
        <v>103</v>
      </c>
      <c r="B21" s="93">
        <v>5194599.7</v>
      </c>
      <c r="C21" s="93">
        <v>5283920.41</v>
      </c>
      <c r="D21" s="93">
        <v>5591228.9199999999</v>
      </c>
      <c r="E21" s="23">
        <v>5772827.6399999997</v>
      </c>
      <c r="F21" s="23">
        <v>5982089.4699999997</v>
      </c>
      <c r="G21" s="804"/>
      <c r="H21" s="448"/>
      <c r="I21" s="449"/>
      <c r="J21" s="770"/>
      <c r="K21" s="770"/>
      <c r="L21" s="770"/>
      <c r="M21" s="93"/>
      <c r="N21" s="93"/>
      <c r="O21" s="93"/>
      <c r="P21" s="93"/>
      <c r="Q21" s="23"/>
      <c r="R21" s="770"/>
      <c r="S21" s="770"/>
      <c r="T21" s="770"/>
    </row>
    <row r="22" spans="1:20" ht="15.75">
      <c r="A22" s="104" t="s">
        <v>104</v>
      </c>
      <c r="B22" s="93">
        <v>346451.14</v>
      </c>
      <c r="C22" s="93">
        <v>311761.05</v>
      </c>
      <c r="D22" s="93">
        <v>311876.52</v>
      </c>
      <c r="E22" s="23">
        <v>353900.42</v>
      </c>
      <c r="F22" s="23">
        <v>339065.19</v>
      </c>
      <c r="G22" s="804"/>
      <c r="H22" s="448"/>
      <c r="I22" s="449"/>
      <c r="J22" s="770"/>
      <c r="K22" s="770"/>
      <c r="L22" s="770"/>
      <c r="M22" s="93"/>
      <c r="N22" s="93"/>
      <c r="O22" s="93"/>
      <c r="P22" s="93"/>
      <c r="Q22" s="23"/>
      <c r="R22" s="770"/>
      <c r="S22" s="770"/>
      <c r="T22" s="770"/>
    </row>
    <row r="23" spans="1:20" ht="15.75">
      <c r="A23" s="104" t="s">
        <v>105</v>
      </c>
      <c r="B23" s="93">
        <v>3278888.22</v>
      </c>
      <c r="C23" s="93">
        <v>3306398.09</v>
      </c>
      <c r="D23" s="93">
        <v>3402719.87</v>
      </c>
      <c r="E23" s="23">
        <v>3526558.97</v>
      </c>
      <c r="F23" s="23">
        <v>3580054.3</v>
      </c>
      <c r="G23" s="804"/>
      <c r="H23" s="448"/>
      <c r="I23" s="449"/>
      <c r="J23" s="770"/>
      <c r="K23" s="770"/>
      <c r="L23" s="770"/>
      <c r="M23" s="93"/>
      <c r="N23" s="93"/>
      <c r="O23" s="93"/>
      <c r="P23" s="93"/>
      <c r="Q23" s="23"/>
      <c r="R23" s="770"/>
      <c r="S23" s="770"/>
      <c r="T23" s="770"/>
    </row>
    <row r="24" spans="1:20" ht="15.75">
      <c r="A24" s="103" t="s">
        <v>106</v>
      </c>
      <c r="B24" s="94">
        <v>1184808.6100000001</v>
      </c>
      <c r="C24" s="94">
        <v>1317087.79</v>
      </c>
      <c r="D24" s="94">
        <v>1308980.8</v>
      </c>
      <c r="E24" s="23">
        <v>1332748.55</v>
      </c>
      <c r="F24" s="23">
        <v>1409084.38</v>
      </c>
      <c r="G24" s="804"/>
      <c r="H24" s="448"/>
      <c r="I24" s="449"/>
      <c r="J24" s="770"/>
      <c r="K24" s="770"/>
      <c r="L24" s="770"/>
      <c r="M24" s="93"/>
      <c r="N24" s="93"/>
      <c r="O24" s="93"/>
      <c r="P24" s="93"/>
      <c r="Q24" s="23"/>
      <c r="R24" s="770"/>
      <c r="S24" s="770"/>
      <c r="T24" s="770"/>
    </row>
    <row r="25" spans="1:20">
      <c r="A25" s="104" t="s">
        <v>108</v>
      </c>
      <c r="B25" s="97">
        <v>94294038.289999992</v>
      </c>
      <c r="C25" s="97">
        <v>96276635.770000011</v>
      </c>
      <c r="D25" s="97">
        <v>98405054.899999991</v>
      </c>
      <c r="E25" s="249">
        <v>103860654.03999999</v>
      </c>
      <c r="F25" s="249">
        <f>SUM(F9:F24)</f>
        <v>107002844.08999999</v>
      </c>
      <c r="G25" s="85"/>
      <c r="H25" s="450"/>
      <c r="I25" s="770"/>
      <c r="J25" s="770"/>
      <c r="K25" s="770"/>
      <c r="L25" s="770"/>
      <c r="M25" s="97"/>
      <c r="N25" s="97"/>
      <c r="O25" s="97"/>
      <c r="P25" s="97"/>
      <c r="Q25" s="97"/>
      <c r="R25" s="770"/>
      <c r="S25" s="770"/>
      <c r="T25" s="770"/>
    </row>
    <row r="26" spans="1:20" ht="15.75">
      <c r="A26" s="417" t="s">
        <v>312</v>
      </c>
      <c r="B26" s="85"/>
      <c r="C26" s="320">
        <v>45232</v>
      </c>
      <c r="D26" s="85"/>
      <c r="E26" s="85"/>
      <c r="F26" s="85"/>
      <c r="G26" s="85"/>
      <c r="H26" s="85"/>
      <c r="I26" s="770"/>
      <c r="J26" s="770"/>
      <c r="K26" s="770"/>
      <c r="L26" s="770"/>
      <c r="M26" s="770"/>
      <c r="N26" s="770"/>
      <c r="O26" s="770"/>
      <c r="P26" s="770"/>
      <c r="Q26" s="770"/>
      <c r="R26" s="770"/>
      <c r="S26" s="770"/>
      <c r="T26" s="770"/>
    </row>
    <row r="27" spans="1:20">
      <c r="A27" s="81"/>
      <c r="B27" s="85"/>
      <c r="C27" s="85"/>
      <c r="D27" s="85"/>
      <c r="E27" s="85"/>
      <c r="F27" s="85"/>
      <c r="G27" s="85"/>
      <c r="H27" s="85"/>
      <c r="I27" s="770"/>
      <c r="J27" s="770"/>
      <c r="K27" s="770"/>
      <c r="L27" s="770"/>
      <c r="M27" s="770"/>
      <c r="N27" s="770"/>
      <c r="O27" s="770"/>
      <c r="P27" s="770"/>
      <c r="Q27" s="770"/>
      <c r="R27" s="770"/>
      <c r="S27" s="770"/>
      <c r="T27" s="770"/>
    </row>
    <row r="28" spans="1:20">
      <c r="A28" s="103" t="s">
        <v>313</v>
      </c>
      <c r="B28" s="105"/>
      <c r="C28" s="105"/>
      <c r="D28" s="105"/>
      <c r="E28" s="105"/>
      <c r="F28" s="105"/>
      <c r="G28" s="105"/>
      <c r="H28" s="373"/>
      <c r="I28" s="770"/>
      <c r="J28" s="770"/>
      <c r="K28" s="770"/>
      <c r="L28" s="770"/>
      <c r="M28" s="770"/>
      <c r="N28" s="770"/>
      <c r="O28" s="770"/>
      <c r="P28" s="807"/>
      <c r="Q28" s="770"/>
      <c r="R28" s="770"/>
      <c r="S28" s="770"/>
      <c r="T28" s="770"/>
    </row>
    <row r="29" spans="1:20" ht="15.75">
      <c r="A29" s="106" t="s">
        <v>314</v>
      </c>
      <c r="B29" s="106">
        <v>2018</v>
      </c>
      <c r="C29" s="106">
        <v>2019</v>
      </c>
      <c r="D29" s="106">
        <v>2020</v>
      </c>
      <c r="E29" s="106">
        <v>2021</v>
      </c>
      <c r="F29" s="106">
        <v>2022</v>
      </c>
      <c r="G29" s="259">
        <v>2023</v>
      </c>
      <c r="H29" s="398">
        <v>2024</v>
      </c>
      <c r="I29" s="299"/>
      <c r="J29" s="299"/>
      <c r="K29" s="770"/>
      <c r="L29" s="770"/>
      <c r="M29" s="770"/>
      <c r="N29" s="770"/>
      <c r="O29" s="770"/>
      <c r="P29" s="770"/>
      <c r="Q29" s="770"/>
      <c r="R29" s="770"/>
      <c r="S29" s="770"/>
      <c r="T29" s="770"/>
    </row>
    <row r="30" spans="1:20" ht="15.75">
      <c r="A30" s="104" t="s">
        <v>92</v>
      </c>
      <c r="B30" s="108">
        <v>0.16750000000000001</v>
      </c>
      <c r="C30" s="108">
        <v>0.16750000000000001</v>
      </c>
      <c r="D30" s="108">
        <v>0.16750000000000001</v>
      </c>
      <c r="E30" s="109">
        <v>0.17749999999999999</v>
      </c>
      <c r="F30" s="109">
        <v>0.17749999999999999</v>
      </c>
      <c r="G30" s="260">
        <v>0.17749999999999999</v>
      </c>
      <c r="H30" s="456">
        <v>0.17699999999999999</v>
      </c>
      <c r="I30" s="364"/>
      <c r="J30" s="299"/>
      <c r="K30" s="808"/>
      <c r="L30" s="770"/>
      <c r="M30" s="770"/>
      <c r="N30" s="770"/>
      <c r="O30" s="770"/>
      <c r="P30" s="770"/>
      <c r="Q30" s="456"/>
      <c r="R30" s="770"/>
      <c r="S30" s="809"/>
      <c r="T30" s="770"/>
    </row>
    <row r="31" spans="1:20" ht="15.75">
      <c r="A31" s="164" t="s">
        <v>93</v>
      </c>
      <c r="B31" s="108">
        <v>0.185</v>
      </c>
      <c r="C31" s="108">
        <v>0.185</v>
      </c>
      <c r="D31" s="108">
        <v>0.185</v>
      </c>
      <c r="E31" s="109">
        <v>0.19</v>
      </c>
      <c r="F31" s="109">
        <v>0.19</v>
      </c>
      <c r="G31" s="260">
        <v>0.185</v>
      </c>
      <c r="H31" s="456">
        <v>0.185</v>
      </c>
      <c r="I31" s="365"/>
      <c r="J31" s="299"/>
      <c r="K31" s="808"/>
      <c r="L31" s="770"/>
      <c r="M31" s="770"/>
      <c r="N31" s="770"/>
      <c r="O31" s="770"/>
      <c r="P31" s="770"/>
      <c r="Q31" s="456"/>
      <c r="R31" s="770"/>
      <c r="S31" s="809"/>
      <c r="T31" s="770"/>
    </row>
    <row r="32" spans="1:20" ht="15.75">
      <c r="A32" s="164" t="s">
        <v>94</v>
      </c>
      <c r="B32" s="108">
        <v>0.19</v>
      </c>
      <c r="C32" s="108">
        <v>0.185</v>
      </c>
      <c r="D32" s="108">
        <v>0.185</v>
      </c>
      <c r="E32" s="109">
        <v>0.19500000000000001</v>
      </c>
      <c r="F32" s="109">
        <v>0.19500000000000001</v>
      </c>
      <c r="G32" s="260">
        <v>0.19500000000000001</v>
      </c>
      <c r="H32" s="456">
        <v>0.19500000000000001</v>
      </c>
      <c r="I32" s="365"/>
      <c r="J32" s="299"/>
      <c r="K32" s="808"/>
      <c r="L32" s="770"/>
      <c r="M32" s="770"/>
      <c r="N32" s="770"/>
      <c r="O32" s="770"/>
      <c r="P32" s="770"/>
      <c r="Q32" s="456"/>
      <c r="R32" s="770"/>
      <c r="S32" s="809"/>
      <c r="T32" s="770"/>
    </row>
    <row r="33" spans="1:20" ht="15.75">
      <c r="A33" s="164" t="s">
        <v>95</v>
      </c>
      <c r="B33" s="108">
        <v>0.17499999999999999</v>
      </c>
      <c r="C33" s="108">
        <v>0.17499999999999999</v>
      </c>
      <c r="D33" s="108">
        <v>0.17499999999999999</v>
      </c>
      <c r="E33" s="109">
        <v>0.17499999999999999</v>
      </c>
      <c r="F33" s="109">
        <v>0.17499999999999999</v>
      </c>
      <c r="G33" s="260">
        <v>0.17499999999999999</v>
      </c>
      <c r="H33" s="456">
        <v>0.185</v>
      </c>
      <c r="I33" s="365"/>
      <c r="J33" s="299"/>
      <c r="K33" s="808"/>
      <c r="L33" s="770"/>
      <c r="M33" s="770"/>
      <c r="N33" s="770"/>
      <c r="O33" s="770"/>
      <c r="P33" s="770"/>
      <c r="Q33" s="456"/>
      <c r="R33" s="770"/>
      <c r="S33" s="809"/>
      <c r="T33" s="770"/>
    </row>
    <row r="34" spans="1:20" ht="15.75">
      <c r="A34" s="164" t="s">
        <v>96</v>
      </c>
      <c r="B34" s="108">
        <v>0.17499999999999999</v>
      </c>
      <c r="C34" s="108">
        <v>0.185</v>
      </c>
      <c r="D34" s="108">
        <v>0.185</v>
      </c>
      <c r="E34" s="109">
        <v>0.185</v>
      </c>
      <c r="F34" s="109">
        <v>0.185</v>
      </c>
      <c r="G34" s="260">
        <v>0.185</v>
      </c>
      <c r="H34" s="456">
        <v>0.185</v>
      </c>
      <c r="I34" s="365"/>
      <c r="J34" s="299"/>
      <c r="K34" s="808"/>
      <c r="L34" s="770"/>
      <c r="M34" s="770"/>
      <c r="N34" s="770"/>
      <c r="O34" s="770"/>
      <c r="P34" s="770"/>
      <c r="Q34" s="456"/>
      <c r="R34" s="770"/>
      <c r="S34" s="809"/>
      <c r="T34" s="770"/>
    </row>
    <row r="35" spans="1:20" ht="15.75">
      <c r="A35" s="164" t="s">
        <v>97</v>
      </c>
      <c r="B35" s="108">
        <v>0.17249999999999999</v>
      </c>
      <c r="C35" s="108">
        <v>0.17249999999999999</v>
      </c>
      <c r="D35" s="108">
        <v>0.17249999999999999</v>
      </c>
      <c r="E35" s="109">
        <v>0.18</v>
      </c>
      <c r="F35" s="109">
        <v>0.18</v>
      </c>
      <c r="G35" s="260">
        <v>0.18</v>
      </c>
      <c r="H35" s="456">
        <v>0.18</v>
      </c>
      <c r="I35" s="365"/>
      <c r="J35" s="299"/>
      <c r="K35" s="808"/>
      <c r="L35" s="770"/>
      <c r="M35" s="770"/>
      <c r="N35" s="770"/>
      <c r="O35" s="770"/>
      <c r="P35" s="770"/>
      <c r="Q35" s="456"/>
      <c r="R35" s="770"/>
      <c r="S35" s="809"/>
      <c r="T35" s="770"/>
    </row>
    <row r="36" spans="1:20" ht="15.75">
      <c r="A36" s="164" t="s">
        <v>98</v>
      </c>
      <c r="B36" s="108">
        <v>0.16500000000000001</v>
      </c>
      <c r="C36" s="108">
        <v>0.16500000000000001</v>
      </c>
      <c r="D36" s="108">
        <v>0.16500000000000001</v>
      </c>
      <c r="E36" s="109">
        <v>0.16500000000000001</v>
      </c>
      <c r="F36" s="109">
        <v>0.16500000000000001</v>
      </c>
      <c r="G36" s="260">
        <v>0.16500000000000001</v>
      </c>
      <c r="H36" s="456">
        <v>0.16500000000000001</v>
      </c>
      <c r="I36" s="365"/>
      <c r="J36" s="299"/>
      <c r="K36" s="808"/>
      <c r="L36" s="770"/>
      <c r="M36" s="770"/>
      <c r="N36" s="770"/>
      <c r="O36" s="770"/>
      <c r="P36" s="770"/>
      <c r="Q36" s="456"/>
      <c r="R36" s="770"/>
      <c r="S36" s="809"/>
      <c r="T36" s="770"/>
    </row>
    <row r="37" spans="1:20" ht="15.75">
      <c r="A37" s="164" t="s">
        <v>99</v>
      </c>
      <c r="B37" s="108">
        <v>0.19</v>
      </c>
      <c r="C37" s="108">
        <v>0.185</v>
      </c>
      <c r="D37" s="108">
        <v>0.185</v>
      </c>
      <c r="E37" s="109">
        <v>0.185</v>
      </c>
      <c r="F37" s="109">
        <v>0.185</v>
      </c>
      <c r="G37" s="260">
        <v>0.185</v>
      </c>
      <c r="H37" s="456">
        <v>0.19</v>
      </c>
      <c r="I37" s="365"/>
      <c r="J37" s="299"/>
      <c r="K37" s="808"/>
      <c r="L37" s="770"/>
      <c r="M37" s="770"/>
      <c r="N37" s="770"/>
      <c r="O37" s="770"/>
      <c r="P37" s="770"/>
      <c r="Q37" s="456"/>
      <c r="R37" s="770"/>
      <c r="S37" s="809"/>
      <c r="T37" s="770"/>
    </row>
    <row r="38" spans="1:20" ht="15.75">
      <c r="A38" s="164" t="s">
        <v>100</v>
      </c>
      <c r="B38" s="108">
        <v>0.19750000000000001</v>
      </c>
      <c r="C38" s="108">
        <v>0.19750000000000001</v>
      </c>
      <c r="D38" s="108">
        <v>0.19750000000000001</v>
      </c>
      <c r="E38" s="109">
        <v>0.19750000000000001</v>
      </c>
      <c r="F38" s="109">
        <v>0.19750000000000001</v>
      </c>
      <c r="G38" s="260">
        <v>0.19750000000000001</v>
      </c>
      <c r="H38" s="456">
        <v>0.19699999999999998</v>
      </c>
      <c r="I38" s="365"/>
      <c r="J38" s="299"/>
      <c r="K38" s="808"/>
      <c r="L38" s="770"/>
      <c r="M38" s="770"/>
      <c r="N38" s="770"/>
      <c r="O38" s="770"/>
      <c r="P38" s="770"/>
      <c r="Q38" s="456"/>
      <c r="R38" s="770"/>
      <c r="S38" s="809"/>
      <c r="T38" s="770"/>
    </row>
    <row r="39" spans="1:20" ht="15.75">
      <c r="A39" s="164" t="s">
        <v>101</v>
      </c>
      <c r="B39" s="108">
        <v>0.16750000000000001</v>
      </c>
      <c r="C39" s="108">
        <v>0.16750000000000001</v>
      </c>
      <c r="D39" s="108">
        <v>0.17</v>
      </c>
      <c r="E39" s="109">
        <v>0.17</v>
      </c>
      <c r="F39" s="109">
        <v>0.17499999999999999</v>
      </c>
      <c r="G39" s="260">
        <v>0.17499999999999999</v>
      </c>
      <c r="H39" s="456">
        <v>0.17499999999999999</v>
      </c>
      <c r="I39" s="365"/>
      <c r="J39" s="299"/>
      <c r="K39" s="808"/>
      <c r="L39" s="770"/>
      <c r="M39" s="770"/>
      <c r="N39" s="770"/>
      <c r="O39" s="770"/>
      <c r="P39" s="770"/>
      <c r="Q39" s="456"/>
      <c r="R39" s="770"/>
      <c r="S39" s="809"/>
      <c r="T39" s="770"/>
    </row>
    <row r="40" spans="1:20" ht="15.75">
      <c r="A40" s="164" t="s">
        <v>102</v>
      </c>
      <c r="B40" s="108">
        <v>0.19500000000000001</v>
      </c>
      <c r="C40" s="108">
        <v>0.19500000000000001</v>
      </c>
      <c r="D40" s="108">
        <v>0.19500000000000001</v>
      </c>
      <c r="E40" s="109">
        <v>0.19500000000000001</v>
      </c>
      <c r="F40" s="109">
        <v>0.19500000000000001</v>
      </c>
      <c r="G40" s="260">
        <v>0.19500000000000001</v>
      </c>
      <c r="H40" s="456">
        <v>0.19500000000000001</v>
      </c>
      <c r="I40" s="365"/>
      <c r="J40" s="299"/>
      <c r="K40" s="808"/>
      <c r="L40" s="770"/>
      <c r="M40" s="770"/>
      <c r="N40" s="770"/>
      <c r="O40" s="770"/>
      <c r="P40" s="770"/>
      <c r="Q40" s="456"/>
      <c r="R40" s="770"/>
      <c r="S40" s="809"/>
      <c r="T40" s="770"/>
    </row>
    <row r="41" spans="1:20" ht="15.75">
      <c r="A41" s="164" t="s">
        <v>103</v>
      </c>
      <c r="B41" s="108">
        <v>0.17</v>
      </c>
      <c r="C41" s="108">
        <v>0.17249999999999999</v>
      </c>
      <c r="D41" s="108">
        <v>0.18</v>
      </c>
      <c r="E41" s="109">
        <v>0.185</v>
      </c>
      <c r="F41" s="109">
        <v>0.185</v>
      </c>
      <c r="G41" s="260">
        <v>0.1825</v>
      </c>
      <c r="H41" s="456">
        <v>0.185</v>
      </c>
      <c r="I41" s="365"/>
      <c r="J41" s="299"/>
      <c r="K41" s="808"/>
      <c r="L41" s="770"/>
      <c r="M41" s="770"/>
      <c r="N41" s="770"/>
      <c r="O41" s="770"/>
      <c r="P41" s="770"/>
      <c r="Q41" s="456"/>
      <c r="R41" s="770"/>
      <c r="S41" s="809"/>
      <c r="T41" s="770"/>
    </row>
    <row r="42" spans="1:20" ht="15.75">
      <c r="A42" s="164" t="s">
        <v>104</v>
      </c>
      <c r="B42" s="108">
        <v>0.18</v>
      </c>
      <c r="C42" s="108">
        <v>0.18</v>
      </c>
      <c r="D42" s="108">
        <v>0.18</v>
      </c>
      <c r="E42" s="109">
        <v>0.18</v>
      </c>
      <c r="F42" s="109">
        <v>0.18</v>
      </c>
      <c r="G42" s="260">
        <v>0.18</v>
      </c>
      <c r="H42" s="456">
        <v>0.18</v>
      </c>
      <c r="I42" s="365"/>
      <c r="J42" s="299"/>
      <c r="K42" s="808"/>
      <c r="L42" s="770"/>
      <c r="M42" s="770"/>
      <c r="N42" s="770"/>
      <c r="O42" s="770"/>
      <c r="P42" s="770"/>
      <c r="Q42" s="456"/>
      <c r="R42" s="770"/>
      <c r="S42" s="809"/>
      <c r="T42" s="770"/>
    </row>
    <row r="43" spans="1:20" ht="15.75">
      <c r="A43" s="164" t="s">
        <v>105</v>
      </c>
      <c r="B43" s="108">
        <v>0.19500000000000001</v>
      </c>
      <c r="C43" s="108">
        <v>0.19500000000000001</v>
      </c>
      <c r="D43" s="108">
        <v>0.19500000000000001</v>
      </c>
      <c r="E43" s="109">
        <v>0.19500000000000001</v>
      </c>
      <c r="F43" s="109">
        <v>0.19500000000000001</v>
      </c>
      <c r="G43" s="260">
        <v>0.19500000000000001</v>
      </c>
      <c r="H43" s="456">
        <v>0.19</v>
      </c>
      <c r="I43" s="365"/>
      <c r="J43" s="299"/>
      <c r="K43" s="808"/>
      <c r="L43" s="770"/>
      <c r="M43" s="770"/>
      <c r="N43" s="770"/>
      <c r="O43" s="770"/>
      <c r="P43" s="770"/>
      <c r="Q43" s="456"/>
      <c r="R43" s="770"/>
      <c r="S43" s="809"/>
      <c r="T43" s="770"/>
    </row>
    <row r="44" spans="1:20" ht="15.75">
      <c r="A44" s="164" t="s">
        <v>106</v>
      </c>
      <c r="B44" s="108">
        <v>0.19</v>
      </c>
      <c r="C44" s="108">
        <v>0.19</v>
      </c>
      <c r="D44" s="108">
        <v>0.19</v>
      </c>
      <c r="E44" s="109">
        <v>0.19</v>
      </c>
      <c r="F44" s="109">
        <v>0.19</v>
      </c>
      <c r="G44" s="260">
        <v>0.19</v>
      </c>
      <c r="H44" s="456">
        <v>0.19</v>
      </c>
      <c r="I44" s="365"/>
      <c r="J44" s="299"/>
      <c r="K44" s="808"/>
      <c r="L44" s="770"/>
      <c r="M44" s="770"/>
      <c r="N44" s="770"/>
      <c r="O44" s="770"/>
      <c r="P44" s="770"/>
      <c r="Q44" s="456"/>
      <c r="R44" s="770"/>
      <c r="S44" s="809"/>
      <c r="T44" s="770"/>
    </row>
    <row r="45" spans="1:20" ht="15.75">
      <c r="A45" s="164" t="s">
        <v>107</v>
      </c>
      <c r="B45" s="108">
        <v>0.17499999999999999</v>
      </c>
      <c r="C45" s="108">
        <v>0.17249999999999999</v>
      </c>
      <c r="D45" s="108">
        <v>0.17249999999999999</v>
      </c>
      <c r="E45" s="109">
        <v>0.17249999999999999</v>
      </c>
      <c r="F45" s="446">
        <v>0.17</v>
      </c>
      <c r="G45" s="260">
        <v>0.17</v>
      </c>
      <c r="H45" s="457">
        <v>0.17</v>
      </c>
      <c r="I45" s="365"/>
      <c r="J45" s="299"/>
      <c r="K45"/>
      <c r="L45" s="770"/>
      <c r="M45" s="770"/>
      <c r="N45" s="770"/>
      <c r="O45" s="770"/>
      <c r="P45" s="770"/>
      <c r="Q45" s="456"/>
      <c r="R45" s="770"/>
      <c r="S45" s="809"/>
      <c r="T45" s="770"/>
    </row>
    <row r="46" spans="1:20" ht="15.75">
      <c r="A46" s="110" t="s">
        <v>108</v>
      </c>
      <c r="B46" s="416">
        <v>0.1750555</v>
      </c>
      <c r="C46" s="416">
        <v>0.173736</v>
      </c>
      <c r="D46" s="416">
        <v>0.1742475</v>
      </c>
      <c r="E46" s="411">
        <v>0.17587520000000001</v>
      </c>
      <c r="F46" s="823">
        <v>0.17513489306275626</v>
      </c>
      <c r="G46" s="420">
        <v>0.17487139938952498</v>
      </c>
      <c r="H46" s="818">
        <v>0.1750277584596511</v>
      </c>
      <c r="I46" s="332"/>
      <c r="J46" s="299"/>
      <c r="K46" s="808"/>
      <c r="L46" s="770"/>
      <c r="M46" s="770"/>
      <c r="N46" s="770"/>
      <c r="O46" s="770"/>
      <c r="P46" s="763"/>
      <c r="Q46" s="763"/>
      <c r="R46" s="770"/>
      <c r="S46" s="770"/>
      <c r="T46" s="770"/>
    </row>
    <row r="47" spans="1:20" ht="15.75">
      <c r="A47" s="412" t="s">
        <v>315</v>
      </c>
      <c r="B47" s="366"/>
      <c r="C47" s="300" t="s">
        <v>624</v>
      </c>
      <c r="D47" s="85"/>
      <c r="E47" s="85"/>
      <c r="F47" s="373"/>
      <c r="G47" s="373"/>
      <c r="H47" s="373"/>
      <c r="I47" s="299"/>
      <c r="J47" s="454" t="s">
        <v>625</v>
      </c>
      <c r="K47" s="455"/>
      <c r="L47" s="455"/>
      <c r="M47" s="455"/>
      <c r="N47" s="455"/>
      <c r="O47" s="455"/>
      <c r="P47" s="770"/>
      <c r="Q47" s="770"/>
      <c r="R47" s="770"/>
      <c r="S47" s="770"/>
      <c r="T47" s="770"/>
    </row>
    <row r="48" spans="1:20" ht="15.75">
      <c r="A48" s="85"/>
      <c r="B48" s="85"/>
      <c r="C48" s="85"/>
      <c r="D48" s="85"/>
      <c r="E48" s="85"/>
      <c r="F48" s="85"/>
      <c r="G48" s="85"/>
      <c r="H48" s="85"/>
      <c r="I48" s="85"/>
      <c r="J48" s="299"/>
      <c r="K48" s="770"/>
      <c r="L48" s="770"/>
      <c r="M48" s="770"/>
      <c r="N48" s="770"/>
      <c r="O48" s="770"/>
      <c r="P48" s="770"/>
      <c r="Q48" s="770"/>
      <c r="R48" s="770"/>
      <c r="S48" s="770"/>
      <c r="T48" s="770"/>
    </row>
    <row r="49" spans="1:20">
      <c r="A49" s="103" t="s">
        <v>316</v>
      </c>
      <c r="B49" s="105"/>
      <c r="C49" s="105"/>
      <c r="D49" s="105"/>
      <c r="E49" s="105"/>
      <c r="F49" s="550"/>
      <c r="G49" s="85"/>
      <c r="H49" s="447"/>
      <c r="I49" s="85"/>
      <c r="J49" s="85"/>
      <c r="K49" s="770"/>
      <c r="L49" s="770"/>
      <c r="M49" s="770"/>
      <c r="N49" s="770"/>
      <c r="O49" s="770"/>
      <c r="P49" s="770"/>
      <c r="Q49" s="770"/>
      <c r="R49" s="770"/>
      <c r="S49" s="770"/>
      <c r="T49" s="770"/>
    </row>
    <row r="50" spans="1:20">
      <c r="A50" s="367" t="s">
        <v>317</v>
      </c>
      <c r="B50" s="367">
        <v>2018</v>
      </c>
      <c r="C50" s="367">
        <v>2019</v>
      </c>
      <c r="D50" s="367">
        <v>2020</v>
      </c>
      <c r="E50" s="367">
        <v>2021</v>
      </c>
      <c r="F50" s="367">
        <v>2022</v>
      </c>
      <c r="G50" s="85"/>
      <c r="H50" s="451"/>
      <c r="I50" s="85"/>
      <c r="J50" s="85"/>
      <c r="K50" s="458"/>
      <c r="L50" s="458"/>
      <c r="M50" s="458"/>
      <c r="N50" s="196"/>
      <c r="O50" s="196"/>
      <c r="P50" s="770"/>
      <c r="Q50" s="770"/>
      <c r="R50" s="770"/>
      <c r="S50" s="770"/>
      <c r="T50" s="770"/>
    </row>
    <row r="51" spans="1:20" ht="15.75">
      <c r="A51" s="104" t="s">
        <v>92</v>
      </c>
      <c r="B51" s="93">
        <v>120678.34886334806</v>
      </c>
      <c r="C51" s="93">
        <v>179446.20539310292</v>
      </c>
      <c r="D51" s="23">
        <v>367707.71733830136</v>
      </c>
      <c r="E51" s="23">
        <v>576774.48307035281</v>
      </c>
      <c r="F51" s="23">
        <v>380762.18505577382</v>
      </c>
      <c r="G51" s="356"/>
      <c r="H51" s="448"/>
      <c r="I51" s="770"/>
      <c r="J51" s="770"/>
      <c r="K51" s="93"/>
      <c r="L51" s="93"/>
      <c r="M51" s="93"/>
      <c r="N51" s="23"/>
      <c r="O51" s="23"/>
      <c r="P51" s="770"/>
      <c r="Q51" s="770"/>
      <c r="R51" s="770"/>
      <c r="S51" s="770"/>
      <c r="T51" s="770"/>
    </row>
    <row r="52" spans="1:20" ht="15.75">
      <c r="A52" s="104" t="s">
        <v>93</v>
      </c>
      <c r="B52" s="93">
        <v>118930.45193645117</v>
      </c>
      <c r="C52" s="93">
        <v>185607.59069554799</v>
      </c>
      <c r="D52" s="23">
        <v>255329.2065309149</v>
      </c>
      <c r="E52" s="23">
        <v>282948.23909727426</v>
      </c>
      <c r="F52" s="23">
        <v>143782.08903587086</v>
      </c>
      <c r="G52" s="356"/>
      <c r="H52" s="448"/>
      <c r="I52" s="770"/>
      <c r="J52" s="770"/>
      <c r="K52" s="93"/>
      <c r="L52" s="93"/>
      <c r="M52" s="93"/>
      <c r="N52" s="23"/>
      <c r="O52" s="23"/>
      <c r="P52" s="770"/>
      <c r="Q52" s="770"/>
      <c r="R52" s="770"/>
      <c r="S52" s="770"/>
      <c r="T52" s="770"/>
    </row>
    <row r="53" spans="1:20" ht="15.75">
      <c r="A53" s="104" t="s">
        <v>94</v>
      </c>
      <c r="B53" s="93">
        <v>425768.981509484</v>
      </c>
      <c r="C53" s="93">
        <v>421796.37927529879</v>
      </c>
      <c r="D53" s="23">
        <v>430865.45069801976</v>
      </c>
      <c r="E53" s="23">
        <v>631267.57773169945</v>
      </c>
      <c r="F53" s="23">
        <v>557938.31592943997</v>
      </c>
      <c r="G53" s="356"/>
      <c r="H53" s="448"/>
      <c r="I53" s="770"/>
      <c r="J53" s="770"/>
      <c r="K53" s="93"/>
      <c r="L53" s="93"/>
      <c r="M53" s="93"/>
      <c r="N53" s="23"/>
      <c r="O53" s="23"/>
      <c r="P53" s="770"/>
      <c r="Q53" s="770"/>
      <c r="R53" s="770"/>
      <c r="S53" s="770"/>
      <c r="T53" s="770"/>
    </row>
    <row r="54" spans="1:20" ht="15.75">
      <c r="A54" s="104" t="s">
        <v>95</v>
      </c>
      <c r="B54" s="93">
        <v>254599.35568326476</v>
      </c>
      <c r="C54" s="93">
        <v>265661.8322352228</v>
      </c>
      <c r="D54" s="23">
        <v>321977.47236245929</v>
      </c>
      <c r="E54" s="23">
        <v>322200.97461887798</v>
      </c>
      <c r="F54" s="23">
        <v>210609.48079526599</v>
      </c>
      <c r="G54" s="356"/>
      <c r="H54" s="448"/>
      <c r="I54" s="770"/>
      <c r="J54" s="770"/>
      <c r="K54" s="93"/>
      <c r="L54" s="93"/>
      <c r="M54" s="93"/>
      <c r="N54" s="23"/>
      <c r="O54" s="23"/>
      <c r="P54" s="770"/>
      <c r="Q54" s="770"/>
      <c r="R54" s="770"/>
      <c r="S54" s="770"/>
      <c r="T54" s="770"/>
    </row>
    <row r="55" spans="1:20" ht="15.75">
      <c r="A55" s="104" t="s">
        <v>96</v>
      </c>
      <c r="B55" s="93">
        <v>9054.1060813258773</v>
      </c>
      <c r="C55" s="93">
        <v>7056.5716354730439</v>
      </c>
      <c r="D55" s="23">
        <v>9583.5216717326439</v>
      </c>
      <c r="E55" s="23">
        <v>9890.5206762323996</v>
      </c>
      <c r="F55" s="23">
        <v>8025.2092900666739</v>
      </c>
      <c r="G55" s="356"/>
      <c r="H55" s="448"/>
      <c r="I55" s="770"/>
      <c r="J55" s="770"/>
      <c r="K55" s="93"/>
      <c r="L55" s="93"/>
      <c r="M55" s="93"/>
      <c r="N55" s="23"/>
      <c r="O55" s="23"/>
      <c r="P55" s="770"/>
      <c r="Q55" s="770"/>
      <c r="R55" s="770"/>
      <c r="S55" s="770"/>
      <c r="T55" s="770"/>
    </row>
    <row r="56" spans="1:20" ht="15.75">
      <c r="A56" s="104" t="s">
        <v>97</v>
      </c>
      <c r="B56" s="93">
        <v>97509.999715596379</v>
      </c>
      <c r="C56" s="93">
        <v>95228.641809040462</v>
      </c>
      <c r="D56" s="23">
        <v>102749.18802649213</v>
      </c>
      <c r="E56" s="23">
        <v>159288.03184221406</v>
      </c>
      <c r="F56" s="23">
        <v>142892.28747834213</v>
      </c>
      <c r="G56" s="356"/>
      <c r="H56" s="448"/>
      <c r="I56" s="770"/>
      <c r="J56" s="770"/>
      <c r="K56" s="93"/>
      <c r="L56" s="93"/>
      <c r="M56" s="93"/>
      <c r="N56" s="23"/>
      <c r="O56" s="23"/>
      <c r="P56" s="770"/>
      <c r="Q56" s="770"/>
      <c r="R56" s="770"/>
      <c r="S56" s="770"/>
      <c r="T56" s="770"/>
    </row>
    <row r="57" spans="1:20" ht="15.75">
      <c r="A57" s="104" t="s">
        <v>98</v>
      </c>
      <c r="B57" s="93">
        <v>1193093.6644828252</v>
      </c>
      <c r="C57" s="93">
        <v>1109430.3761760963</v>
      </c>
      <c r="D57" s="23">
        <v>1326546.9510283652</v>
      </c>
      <c r="E57" s="23">
        <v>1717917.7955079447</v>
      </c>
      <c r="F57" s="23">
        <v>1272241.9996585606</v>
      </c>
      <c r="G57" s="356"/>
      <c r="H57" s="448"/>
      <c r="I57" s="770"/>
      <c r="J57" s="770"/>
      <c r="K57" s="93"/>
      <c r="L57" s="93"/>
      <c r="M57" s="93"/>
      <c r="N57" s="23"/>
      <c r="O57" s="23"/>
      <c r="P57" s="770"/>
      <c r="Q57" s="770"/>
      <c r="R57" s="770"/>
      <c r="S57" s="770"/>
      <c r="T57" s="770"/>
    </row>
    <row r="58" spans="1:20" ht="15.75">
      <c r="A58" s="104" t="s">
        <v>99</v>
      </c>
      <c r="B58" s="93">
        <v>7865.339224903385</v>
      </c>
      <c r="C58" s="93">
        <v>4547.6161087604223</v>
      </c>
      <c r="D58" s="23">
        <v>5736.4502992896596</v>
      </c>
      <c r="E58" s="23">
        <v>8508.8880822157316</v>
      </c>
      <c r="F58" s="23">
        <v>6113.6060845672864</v>
      </c>
      <c r="G58" s="356"/>
      <c r="H58" s="448"/>
      <c r="I58" s="770"/>
      <c r="J58" s="770"/>
      <c r="K58" s="93"/>
      <c r="L58" s="93"/>
      <c r="M58" s="93"/>
      <c r="N58" s="23"/>
      <c r="O58" s="23"/>
      <c r="P58" s="770"/>
      <c r="Q58" s="770"/>
      <c r="R58" s="770"/>
      <c r="S58" s="770"/>
      <c r="T58" s="770"/>
    </row>
    <row r="59" spans="1:20" ht="15.75">
      <c r="A59" s="104" t="s">
        <v>100</v>
      </c>
      <c r="B59" s="93">
        <v>4669.6912772043543</v>
      </c>
      <c r="C59" s="93">
        <v>4351.889967406114</v>
      </c>
      <c r="D59" s="23">
        <v>5980.5380505363291</v>
      </c>
      <c r="E59" s="23">
        <v>14447.835923932731</v>
      </c>
      <c r="F59" s="23">
        <v>14073.128125835847</v>
      </c>
      <c r="G59" s="356"/>
      <c r="H59" s="448"/>
      <c r="I59" s="770"/>
      <c r="J59" s="770"/>
      <c r="K59" s="93"/>
      <c r="L59" s="93"/>
      <c r="M59" s="93"/>
      <c r="N59" s="23"/>
      <c r="O59" s="23"/>
      <c r="P59" s="770"/>
      <c r="Q59" s="770"/>
      <c r="R59" s="770"/>
      <c r="S59" s="770"/>
      <c r="T59" s="770"/>
    </row>
    <row r="60" spans="1:20" ht="15.75">
      <c r="A60" s="104" t="s">
        <v>101</v>
      </c>
      <c r="B60" s="93">
        <v>87652.550359362067</v>
      </c>
      <c r="C60" s="93">
        <v>87867.436853246356</v>
      </c>
      <c r="D60" s="23">
        <v>112789.27910843948</v>
      </c>
      <c r="E60" s="23">
        <v>147969.52421218943</v>
      </c>
      <c r="F60" s="23">
        <v>115214.49600262269</v>
      </c>
      <c r="G60" s="356"/>
      <c r="H60" s="448"/>
      <c r="I60" s="770"/>
      <c r="J60" s="770"/>
      <c r="K60" s="93"/>
      <c r="L60" s="93"/>
      <c r="M60" s="93"/>
      <c r="N60" s="23"/>
      <c r="O60" s="23"/>
      <c r="P60" s="770"/>
      <c r="Q60" s="770"/>
      <c r="R60" s="770"/>
      <c r="S60" s="770"/>
      <c r="T60" s="770"/>
    </row>
    <row r="61" spans="1:20" ht="15.75">
      <c r="A61" s="104" t="s">
        <v>102</v>
      </c>
      <c r="B61" s="93">
        <v>66792.803778042551</v>
      </c>
      <c r="C61" s="93">
        <v>64571.628840820224</v>
      </c>
      <c r="D61" s="23">
        <v>72861.13638497112</v>
      </c>
      <c r="E61" s="23">
        <v>86179.435304053841</v>
      </c>
      <c r="F61" s="23">
        <v>60601.908820922479</v>
      </c>
      <c r="G61" s="356"/>
      <c r="H61" s="448"/>
      <c r="I61" s="770"/>
      <c r="J61" s="770"/>
      <c r="K61" s="93"/>
      <c r="L61" s="93"/>
      <c r="M61" s="93"/>
      <c r="N61" s="23"/>
      <c r="O61" s="23"/>
      <c r="P61" s="770"/>
      <c r="Q61" s="770"/>
      <c r="R61" s="770"/>
      <c r="S61" s="770"/>
      <c r="T61" s="770"/>
    </row>
    <row r="62" spans="1:20" ht="15.75">
      <c r="A62" s="104" t="s">
        <v>107</v>
      </c>
      <c r="B62" s="93">
        <v>6585079.2700626077</v>
      </c>
      <c r="C62" s="93">
        <v>6924606.1990823662</v>
      </c>
      <c r="D62" s="23">
        <v>6994183.800817539</v>
      </c>
      <c r="E62" s="23">
        <v>8140659.5460576974</v>
      </c>
      <c r="F62" s="23">
        <v>6354625.8421227988</v>
      </c>
      <c r="G62" s="356"/>
      <c r="H62" s="448"/>
      <c r="I62" s="770"/>
      <c r="J62" s="770"/>
      <c r="K62" s="93"/>
      <c r="L62" s="93"/>
      <c r="M62" s="93"/>
      <c r="N62" s="23"/>
      <c r="O62" s="23"/>
      <c r="P62" s="770"/>
      <c r="Q62" s="770"/>
      <c r="R62" s="770"/>
      <c r="S62" s="770"/>
      <c r="T62" s="770"/>
    </row>
    <row r="63" spans="1:20" ht="15.75">
      <c r="A63" s="104" t="s">
        <v>103</v>
      </c>
      <c r="B63" s="93">
        <v>808151.71473606664</v>
      </c>
      <c r="C63" s="93">
        <v>797363.24611327692</v>
      </c>
      <c r="D63" s="23">
        <v>985769.28779001173</v>
      </c>
      <c r="E63" s="23">
        <v>1391019.6245439257</v>
      </c>
      <c r="F63" s="23">
        <v>1044050.5447314226</v>
      </c>
      <c r="G63" s="356"/>
      <c r="H63" s="448"/>
      <c r="I63" s="770"/>
      <c r="J63" s="770"/>
      <c r="K63" s="93"/>
      <c r="L63" s="93"/>
      <c r="M63" s="93"/>
      <c r="N63" s="23"/>
      <c r="O63" s="23"/>
      <c r="P63" s="770"/>
      <c r="Q63" s="770"/>
      <c r="R63" s="770"/>
      <c r="S63" s="770"/>
      <c r="T63" s="770"/>
    </row>
    <row r="64" spans="1:20" ht="15.75">
      <c r="A64" s="104" t="s">
        <v>104</v>
      </c>
      <c r="B64" s="93">
        <v>10127.068611774806</v>
      </c>
      <c r="C64" s="93">
        <v>12899.620742496985</v>
      </c>
      <c r="D64" s="23">
        <v>12938.757888892129</v>
      </c>
      <c r="E64" s="23">
        <v>18705.4838693192</v>
      </c>
      <c r="F64" s="23">
        <v>13257.772116944976</v>
      </c>
      <c r="G64" s="356"/>
      <c r="H64" s="448"/>
      <c r="I64" s="770"/>
      <c r="J64" s="770"/>
      <c r="K64" s="93"/>
      <c r="L64" s="93"/>
      <c r="M64" s="93"/>
      <c r="N64" s="23"/>
      <c r="O64" s="23"/>
      <c r="P64" s="770"/>
      <c r="Q64" s="770"/>
      <c r="R64" s="770"/>
      <c r="S64" s="770"/>
      <c r="T64" s="770"/>
    </row>
    <row r="65" spans="1:15" ht="15.75">
      <c r="A65" s="104" t="s">
        <v>105</v>
      </c>
      <c r="B65" s="93">
        <v>37215.236636825488</v>
      </c>
      <c r="C65" s="93">
        <v>44345.264850803127</v>
      </c>
      <c r="D65" s="23">
        <v>60442.82548226737</v>
      </c>
      <c r="E65" s="23">
        <v>96562.539221077852</v>
      </c>
      <c r="F65" s="23">
        <v>75154.866659407402</v>
      </c>
      <c r="G65" s="356"/>
      <c r="H65" s="448"/>
      <c r="I65" s="770"/>
      <c r="J65" s="770"/>
      <c r="K65" s="93"/>
      <c r="L65" s="93"/>
      <c r="M65" s="93"/>
      <c r="N65" s="23"/>
      <c r="O65" s="23"/>
    </row>
    <row r="66" spans="1:15" ht="15.75">
      <c r="A66" s="103" t="s">
        <v>106</v>
      </c>
      <c r="B66" s="94">
        <v>20118.047445917415</v>
      </c>
      <c r="C66" s="94">
        <v>21245.694281040996</v>
      </c>
      <c r="D66" s="368">
        <v>24395.356397769829</v>
      </c>
      <c r="E66" s="368">
        <v>29294.728350992238</v>
      </c>
      <c r="F66" s="368">
        <v>27203.696364155905</v>
      </c>
      <c r="G66" s="356"/>
      <c r="H66" s="448"/>
      <c r="I66" s="770"/>
      <c r="J66" s="770"/>
      <c r="K66" s="93"/>
      <c r="L66" s="93"/>
      <c r="M66" s="93"/>
      <c r="N66" s="23"/>
      <c r="O66" s="23"/>
    </row>
    <row r="67" spans="1:15" ht="15.75">
      <c r="A67" s="104" t="s">
        <v>108</v>
      </c>
      <c r="B67" s="97">
        <v>9847306.6304049995</v>
      </c>
      <c r="C67" s="97">
        <v>10226026.194059998</v>
      </c>
      <c r="D67" s="247">
        <v>11089856.939876003</v>
      </c>
      <c r="E67" s="247">
        <v>13633635.22811</v>
      </c>
      <c r="F67" s="247">
        <f>SUM(F51:F66)</f>
        <v>10426547.428271996</v>
      </c>
      <c r="G67"/>
      <c r="H67" s="450"/>
      <c r="I67" s="770"/>
      <c r="J67" s="770"/>
      <c r="K67" s="97"/>
      <c r="L67" s="97"/>
      <c r="M67" s="97"/>
      <c r="N67" s="247"/>
      <c r="O67" s="247"/>
    </row>
    <row r="68" spans="1:15" ht="15.75">
      <c r="A68" s="417" t="s">
        <v>312</v>
      </c>
      <c r="B68" s="85"/>
      <c r="C68" s="320"/>
      <c r="D68" s="320">
        <v>45232</v>
      </c>
      <c r="E68" s="85"/>
      <c r="F68" s="373"/>
      <c r="G68" s="85"/>
      <c r="H68"/>
      <c r="I68" s="770"/>
      <c r="J68" s="770"/>
      <c r="K68" s="770"/>
      <c r="L68" s="770"/>
      <c r="M68" s="770"/>
      <c r="N68" s="770"/>
      <c r="O68" s="770"/>
    </row>
    <row r="69" spans="1:15">
      <c r="A69" s="85"/>
      <c r="B69" s="85"/>
      <c r="C69" s="85"/>
      <c r="D69" s="85"/>
      <c r="E69" s="85"/>
      <c r="F69" s="85"/>
      <c r="G69" s="85"/>
      <c r="H69" s="85"/>
      <c r="I69" s="770"/>
      <c r="J69" s="770"/>
      <c r="K69" s="770"/>
      <c r="L69" s="770"/>
      <c r="M69" s="770"/>
      <c r="N69" s="770"/>
      <c r="O69" s="770"/>
    </row>
    <row r="70" spans="1:15">
      <c r="A70" s="103" t="s">
        <v>318</v>
      </c>
      <c r="B70" s="105"/>
      <c r="C70" s="105"/>
      <c r="D70" s="105"/>
      <c r="E70" s="105"/>
      <c r="F70" s="105"/>
      <c r="G70" s="105"/>
      <c r="H70" s="85"/>
      <c r="I70" s="770"/>
      <c r="J70" s="770"/>
      <c r="K70" s="770"/>
      <c r="L70" s="770"/>
      <c r="M70" s="770"/>
      <c r="N70" s="770"/>
      <c r="O70" s="770"/>
    </row>
    <row r="71" spans="1:15">
      <c r="A71" s="369" t="s">
        <v>319</v>
      </c>
      <c r="B71" s="593">
        <v>2018</v>
      </c>
      <c r="C71" s="593">
        <v>2019</v>
      </c>
      <c r="D71" s="593">
        <v>2020</v>
      </c>
      <c r="E71" s="593">
        <v>2021</v>
      </c>
      <c r="F71" s="764" t="s">
        <v>320</v>
      </c>
      <c r="G71" s="369">
        <v>2023</v>
      </c>
      <c r="H71" s="85"/>
      <c r="I71" s="314" t="s">
        <v>199</v>
      </c>
      <c r="J71" s="770"/>
      <c r="K71" s="770"/>
      <c r="L71" s="770"/>
      <c r="M71" s="770"/>
      <c r="N71" s="770"/>
      <c r="O71" s="770"/>
    </row>
    <row r="72" spans="1:15">
      <c r="A72" s="370" t="s">
        <v>92</v>
      </c>
      <c r="B72" s="594">
        <v>452</v>
      </c>
      <c r="C72" s="594">
        <v>449</v>
      </c>
      <c r="D72" s="594">
        <v>445</v>
      </c>
      <c r="E72" s="594">
        <v>449</v>
      </c>
      <c r="F72" s="594">
        <v>449</v>
      </c>
      <c r="G72" s="93"/>
      <c r="H72" s="85"/>
      <c r="I72" s="93">
        <v>450</v>
      </c>
      <c r="J72" s="770"/>
      <c r="K72" s="770"/>
      <c r="L72" s="770"/>
      <c r="M72" s="770"/>
      <c r="N72" s="770"/>
      <c r="O72" s="770"/>
    </row>
    <row r="73" spans="1:15">
      <c r="A73" s="370" t="s">
        <v>93</v>
      </c>
      <c r="B73" s="594">
        <v>948</v>
      </c>
      <c r="C73" s="594">
        <v>961</v>
      </c>
      <c r="D73" s="594">
        <v>952</v>
      </c>
      <c r="E73" s="594">
        <v>958</v>
      </c>
      <c r="F73" s="594">
        <v>933</v>
      </c>
      <c r="G73" s="93"/>
      <c r="H73" s="85"/>
      <c r="I73" s="93">
        <v>939</v>
      </c>
      <c r="J73" s="770"/>
      <c r="K73" s="770"/>
      <c r="L73" s="770"/>
      <c r="M73" s="770"/>
      <c r="N73" s="770"/>
      <c r="O73" s="770"/>
    </row>
    <row r="74" spans="1:15">
      <c r="A74" s="370" t="s">
        <v>94</v>
      </c>
      <c r="B74" s="594">
        <v>2580</v>
      </c>
      <c r="C74" s="594">
        <v>2588</v>
      </c>
      <c r="D74" s="594">
        <v>2593</v>
      </c>
      <c r="E74" s="594">
        <v>2603</v>
      </c>
      <c r="F74" s="594">
        <v>2638</v>
      </c>
      <c r="G74" s="93"/>
      <c r="H74" s="85"/>
      <c r="I74" s="93">
        <v>2588</v>
      </c>
      <c r="J74" s="770"/>
      <c r="K74" s="770"/>
      <c r="L74" s="770"/>
      <c r="M74" s="770"/>
      <c r="N74" s="770"/>
      <c r="O74" s="770"/>
    </row>
    <row r="75" spans="1:15">
      <c r="A75" s="370" t="s">
        <v>95</v>
      </c>
      <c r="B75" s="594">
        <v>532</v>
      </c>
      <c r="C75" s="594">
        <v>534</v>
      </c>
      <c r="D75" s="594">
        <v>531</v>
      </c>
      <c r="E75" s="594">
        <v>526</v>
      </c>
      <c r="F75" s="594">
        <v>501</v>
      </c>
      <c r="G75" s="93"/>
      <c r="H75" s="85"/>
      <c r="I75" s="93">
        <v>504</v>
      </c>
      <c r="J75" s="770"/>
      <c r="K75" s="770"/>
      <c r="L75" s="770"/>
      <c r="M75" s="770"/>
      <c r="N75" s="770"/>
      <c r="O75" s="770"/>
    </row>
    <row r="76" spans="1:15">
      <c r="A76" s="370" t="s">
        <v>96</v>
      </c>
      <c r="B76" s="594">
        <v>495</v>
      </c>
      <c r="C76" s="594">
        <v>514</v>
      </c>
      <c r="D76" s="594">
        <v>496</v>
      </c>
      <c r="E76" s="594">
        <v>511</v>
      </c>
      <c r="F76" s="594">
        <v>505</v>
      </c>
      <c r="G76" s="93"/>
      <c r="H76" s="85"/>
      <c r="I76" s="93">
        <v>507</v>
      </c>
      <c r="J76" s="770"/>
      <c r="K76" s="770"/>
      <c r="L76" s="770"/>
      <c r="M76" s="770"/>
      <c r="N76" s="770"/>
      <c r="O76" s="770"/>
    </row>
    <row r="77" spans="1:15">
      <c r="A77" s="370" t="s">
        <v>97</v>
      </c>
      <c r="B77" s="594">
        <v>1547</v>
      </c>
      <c r="C77" s="594">
        <v>1577</v>
      </c>
      <c r="D77" s="594">
        <v>1583</v>
      </c>
      <c r="E77" s="594">
        <v>1599</v>
      </c>
      <c r="F77" s="594">
        <v>1619</v>
      </c>
      <c r="G77" s="93"/>
      <c r="H77" s="85"/>
      <c r="I77" s="93">
        <v>1628</v>
      </c>
      <c r="J77" s="770"/>
      <c r="K77" s="770"/>
      <c r="L77" s="770"/>
      <c r="M77" s="770"/>
      <c r="N77" s="770"/>
      <c r="O77" s="770"/>
    </row>
    <row r="78" spans="1:15">
      <c r="A78" s="370" t="s">
        <v>98</v>
      </c>
      <c r="B78" s="594">
        <v>4859</v>
      </c>
      <c r="C78" s="594">
        <v>5032</v>
      </c>
      <c r="D78" s="594">
        <v>5233</v>
      </c>
      <c r="E78" s="594">
        <v>5386</v>
      </c>
      <c r="F78" s="594">
        <v>5512</v>
      </c>
      <c r="G78" s="93"/>
      <c r="H78" s="85"/>
      <c r="I78" s="93">
        <v>5610</v>
      </c>
      <c r="J78" s="770"/>
      <c r="K78" s="770"/>
      <c r="L78" s="770"/>
      <c r="M78" s="770"/>
      <c r="N78" s="770"/>
      <c r="O78" s="770"/>
    </row>
    <row r="79" spans="1:15">
      <c r="A79" s="370" t="s">
        <v>99</v>
      </c>
      <c r="B79" s="594">
        <v>314</v>
      </c>
      <c r="C79" s="594">
        <v>315</v>
      </c>
      <c r="D79" s="594">
        <v>314</v>
      </c>
      <c r="E79" s="594">
        <v>307</v>
      </c>
      <c r="F79" s="594">
        <v>313</v>
      </c>
      <c r="G79" s="93"/>
      <c r="H79" s="85"/>
      <c r="I79" s="93">
        <v>306</v>
      </c>
      <c r="J79" s="770"/>
      <c r="K79" s="770"/>
      <c r="L79" s="770"/>
      <c r="M79" s="770"/>
      <c r="N79" s="770"/>
      <c r="O79" s="770"/>
    </row>
    <row r="80" spans="1:15">
      <c r="A80" s="370" t="s">
        <v>100</v>
      </c>
      <c r="B80" s="594">
        <v>236</v>
      </c>
      <c r="C80" s="594">
        <v>236</v>
      </c>
      <c r="D80" s="594">
        <v>232</v>
      </c>
      <c r="E80" s="594">
        <v>225</v>
      </c>
      <c r="F80" s="594">
        <v>224</v>
      </c>
      <c r="G80" s="93"/>
      <c r="H80" s="85"/>
      <c r="I80" s="93">
        <v>223</v>
      </c>
      <c r="J80" s="770"/>
      <c r="K80" s="770"/>
      <c r="L80" s="770"/>
      <c r="M80" s="770"/>
      <c r="N80" s="770"/>
      <c r="O80" s="770"/>
    </row>
    <row r="81" spans="1:12">
      <c r="A81" s="370" t="s">
        <v>101</v>
      </c>
      <c r="B81" s="594">
        <v>2028</v>
      </c>
      <c r="C81" s="594">
        <v>2033</v>
      </c>
      <c r="D81" s="594">
        <v>2053</v>
      </c>
      <c r="E81" s="594">
        <v>2114</v>
      </c>
      <c r="F81" s="594">
        <v>2135</v>
      </c>
      <c r="G81" s="93"/>
      <c r="H81" s="85"/>
      <c r="I81" s="93">
        <v>2131</v>
      </c>
      <c r="J81" s="770"/>
      <c r="K81" s="770"/>
      <c r="L81" s="770"/>
    </row>
    <row r="82" spans="1:12">
      <c r="A82" s="370" t="s">
        <v>102</v>
      </c>
      <c r="B82" s="594">
        <v>395</v>
      </c>
      <c r="C82" s="594">
        <v>382</v>
      </c>
      <c r="D82" s="594">
        <v>366</v>
      </c>
      <c r="E82" s="594">
        <v>372</v>
      </c>
      <c r="F82" s="594">
        <v>376</v>
      </c>
      <c r="G82" s="93"/>
      <c r="H82" s="85"/>
      <c r="I82" s="93">
        <v>360</v>
      </c>
      <c r="J82" s="770"/>
      <c r="K82" s="770"/>
      <c r="L82" s="770"/>
    </row>
    <row r="83" spans="1:12">
      <c r="A83" s="370" t="s">
        <v>103</v>
      </c>
      <c r="B83" s="594">
        <v>1873</v>
      </c>
      <c r="C83" s="594">
        <v>1858</v>
      </c>
      <c r="D83" s="594">
        <v>1849</v>
      </c>
      <c r="E83" s="594">
        <v>1806</v>
      </c>
      <c r="F83" s="594">
        <v>1810</v>
      </c>
      <c r="G83" s="93"/>
      <c r="H83" s="85"/>
      <c r="I83" s="93">
        <v>1793</v>
      </c>
      <c r="J83" s="770"/>
      <c r="K83" s="770"/>
      <c r="L83" s="770"/>
    </row>
    <row r="84" spans="1:12">
      <c r="A84" s="370" t="s">
        <v>104</v>
      </c>
      <c r="B84" s="594">
        <v>92</v>
      </c>
      <c r="C84" s="594">
        <v>91</v>
      </c>
      <c r="D84" s="594">
        <v>88</v>
      </c>
      <c r="E84" s="594">
        <v>101</v>
      </c>
      <c r="F84" s="594">
        <v>105</v>
      </c>
      <c r="G84" s="93"/>
      <c r="H84" s="85"/>
      <c r="I84" s="93">
        <v>111</v>
      </c>
      <c r="J84" s="770"/>
      <c r="K84" s="770"/>
      <c r="L84" s="770"/>
    </row>
    <row r="85" spans="1:12">
      <c r="A85" s="370" t="s">
        <v>105</v>
      </c>
      <c r="B85" s="594">
        <v>1031</v>
      </c>
      <c r="C85" s="594">
        <v>1028</v>
      </c>
      <c r="D85" s="594">
        <v>1023</v>
      </c>
      <c r="E85" s="594">
        <v>1007</v>
      </c>
      <c r="F85" s="594">
        <v>1019</v>
      </c>
      <c r="G85" s="93"/>
      <c r="H85" s="85"/>
      <c r="I85" s="93">
        <v>1001</v>
      </c>
      <c r="J85" s="770"/>
      <c r="K85" s="770"/>
      <c r="L85" s="770"/>
    </row>
    <row r="86" spans="1:12">
      <c r="A86" s="370" t="s">
        <v>106</v>
      </c>
      <c r="B86" s="594">
        <v>430</v>
      </c>
      <c r="C86" s="594">
        <v>448</v>
      </c>
      <c r="D86" s="594">
        <v>447</v>
      </c>
      <c r="E86" s="594">
        <v>460</v>
      </c>
      <c r="F86" s="594">
        <v>463</v>
      </c>
      <c r="G86" s="93"/>
      <c r="H86" s="85"/>
      <c r="I86" s="93">
        <v>451</v>
      </c>
      <c r="J86" s="770"/>
      <c r="K86" s="770"/>
      <c r="L86" s="770"/>
    </row>
    <row r="87" spans="1:12">
      <c r="A87" s="371" t="s">
        <v>107</v>
      </c>
      <c r="B87" s="595">
        <v>11677</v>
      </c>
      <c r="C87" s="595">
        <v>11743</v>
      </c>
      <c r="D87" s="595">
        <v>11679</v>
      </c>
      <c r="E87" s="595">
        <v>11705</v>
      </c>
      <c r="F87" s="595">
        <v>11742</v>
      </c>
      <c r="G87" s="94"/>
      <c r="H87" s="85"/>
      <c r="I87" s="94">
        <v>11757</v>
      </c>
      <c r="J87" s="770"/>
      <c r="K87" s="770"/>
      <c r="L87" s="770"/>
    </row>
    <row r="88" spans="1:12">
      <c r="A88" s="370" t="s">
        <v>108</v>
      </c>
      <c r="B88" s="596">
        <v>29489</v>
      </c>
      <c r="C88" s="596">
        <v>29789</v>
      </c>
      <c r="D88" s="596">
        <v>29884</v>
      </c>
      <c r="E88" s="596">
        <v>30129</v>
      </c>
      <c r="F88" s="596">
        <v>30344</v>
      </c>
      <c r="G88" s="97"/>
      <c r="H88" s="85"/>
      <c r="I88" s="97">
        <v>30359</v>
      </c>
      <c r="J88" s="770"/>
      <c r="K88" s="770"/>
      <c r="L88" s="770"/>
    </row>
    <row r="89" spans="1:12">
      <c r="A89" s="19"/>
      <c r="B89" s="20"/>
      <c r="C89" s="97"/>
      <c r="D89" s="97"/>
      <c r="E89" s="97"/>
      <c r="F89" s="97"/>
      <c r="G89" s="97"/>
      <c r="H89" s="97"/>
      <c r="I89" s="770"/>
      <c r="J89" s="770"/>
      <c r="K89" s="770"/>
      <c r="L89" s="770"/>
    </row>
    <row r="90" spans="1:12">
      <c r="A90" s="85"/>
      <c r="B90" s="85"/>
      <c r="C90" s="85"/>
      <c r="D90" s="85"/>
      <c r="E90" s="85"/>
      <c r="F90" s="85"/>
      <c r="G90" s="85"/>
      <c r="H90" s="85"/>
      <c r="I90" s="770"/>
      <c r="J90" s="770"/>
      <c r="K90" s="770"/>
      <c r="L90" s="770"/>
    </row>
    <row r="91" spans="1:12">
      <c r="A91" s="104" t="s">
        <v>321</v>
      </c>
      <c r="B91" s="85"/>
      <c r="C91" s="85"/>
      <c r="D91" s="85"/>
      <c r="E91" s="85"/>
      <c r="F91" s="85"/>
      <c r="G91" s="104" t="s">
        <v>322</v>
      </c>
      <c r="H91" s="85"/>
      <c r="I91" s="770"/>
      <c r="J91" s="770"/>
      <c r="K91" s="104" t="s">
        <v>321</v>
      </c>
      <c r="L91" s="104" t="s">
        <v>322</v>
      </c>
    </row>
    <row r="92" spans="1:12">
      <c r="A92" s="111"/>
      <c r="B92" s="107">
        <v>2018</v>
      </c>
      <c r="C92" s="107">
        <v>2019</v>
      </c>
      <c r="D92" s="107">
        <v>2020</v>
      </c>
      <c r="E92" s="107">
        <v>2021</v>
      </c>
      <c r="F92" s="107">
        <v>2022</v>
      </c>
      <c r="G92" s="112">
        <v>2024</v>
      </c>
      <c r="H92" s="85"/>
      <c r="I92" s="770"/>
      <c r="J92" s="770"/>
      <c r="K92" s="111"/>
      <c r="L92" s="112">
        <v>2024</v>
      </c>
    </row>
    <row r="93" spans="1:12">
      <c r="A93" s="104" t="s">
        <v>92</v>
      </c>
      <c r="B93" s="93">
        <f t="shared" ref="B93:B103" si="0">(B9/B30+B51/$B$46)/B72</f>
        <v>19776.277363681336</v>
      </c>
      <c r="C93" s="93">
        <f t="shared" ref="C93:C103" si="1">(C9/C30+C51/$C$46)/C72</f>
        <v>20528.038505595425</v>
      </c>
      <c r="D93" s="93">
        <f t="shared" ref="D93:D103" si="2">(D9/D30+D51/$D$46)/D72</f>
        <v>25324.667324617905</v>
      </c>
      <c r="E93" s="93">
        <f>(E9/E30+E51/$E$46)/E72</f>
        <v>30532.153688501377</v>
      </c>
      <c r="F93" s="93">
        <f>(F9/F30+F51/$F$46)/F72</f>
        <v>27881.051640817204</v>
      </c>
      <c r="G93" s="113">
        <f>SUM(B93:F93)/5</f>
        <v>24808.437704642653</v>
      </c>
      <c r="H93" s="85"/>
      <c r="I93" s="770"/>
      <c r="J93" s="770"/>
      <c r="K93" s="104" t="s">
        <v>96</v>
      </c>
      <c r="L93" s="113">
        <v>12413.675415402935</v>
      </c>
    </row>
    <row r="94" spans="1:12">
      <c r="A94" s="104" t="s">
        <v>93</v>
      </c>
      <c r="B94" s="93">
        <f t="shared" si="0"/>
        <v>15326.782798201186</v>
      </c>
      <c r="C94" s="93">
        <f t="shared" si="1"/>
        <v>15993.326115356916</v>
      </c>
      <c r="D94" s="93">
        <f t="shared" si="2"/>
        <v>17089.343986427066</v>
      </c>
      <c r="E94" s="93">
        <f t="shared" ref="E94:E103" si="3">(E10/E31+E52/$E$46)/E73</f>
        <v>18247.818672629135</v>
      </c>
      <c r="F94" s="93">
        <f>(F10/F31+F52/$F$46)/F73</f>
        <v>18060.792922283257</v>
      </c>
      <c r="G94" s="113">
        <f t="shared" ref="G94:G108" si="4">SUM(B94:F94)/5</f>
        <v>16943.612898979514</v>
      </c>
      <c r="H94" s="85"/>
      <c r="I94" s="770"/>
      <c r="J94" s="770"/>
      <c r="K94" s="104" t="s">
        <v>106</v>
      </c>
      <c r="L94" s="113">
        <v>15641.059563195227</v>
      </c>
    </row>
    <row r="95" spans="1:12">
      <c r="A95" s="104" t="s">
        <v>94</v>
      </c>
      <c r="B95" s="93">
        <f t="shared" si="0"/>
        <v>17411.981310816307</v>
      </c>
      <c r="C95" s="93">
        <f t="shared" si="1"/>
        <v>17834.441760634374</v>
      </c>
      <c r="D95" s="93">
        <f t="shared" si="2"/>
        <v>18126.664519116046</v>
      </c>
      <c r="E95" s="93">
        <f t="shared" si="3"/>
        <v>18811.148366168127</v>
      </c>
      <c r="F95" s="93">
        <f t="shared" ref="F95:F103" si="5">(F11/F32+F53/$F$46)/F74</f>
        <v>19600.278191872236</v>
      </c>
      <c r="G95" s="113">
        <f t="shared" si="4"/>
        <v>18356.902829721417</v>
      </c>
      <c r="H95" s="85"/>
      <c r="I95" s="770"/>
      <c r="J95" s="770"/>
      <c r="K95" s="104" t="s">
        <v>100</v>
      </c>
      <c r="L95" s="113">
        <v>15938.534899099508</v>
      </c>
    </row>
    <row r="96" spans="1:12">
      <c r="A96" s="104" t="s">
        <v>95</v>
      </c>
      <c r="B96" s="93">
        <f t="shared" si="0"/>
        <v>17630.730256880313</v>
      </c>
      <c r="C96" s="93">
        <f t="shared" si="1"/>
        <v>18295.65521690801</v>
      </c>
      <c r="D96" s="93">
        <f t="shared" si="2"/>
        <v>19091.994238010204</v>
      </c>
      <c r="E96" s="93">
        <f t="shared" si="3"/>
        <v>19259.457578718011</v>
      </c>
      <c r="F96" s="93">
        <f t="shared" si="5"/>
        <v>18896.825370524795</v>
      </c>
      <c r="G96" s="113">
        <f t="shared" si="4"/>
        <v>18634.932532208266</v>
      </c>
      <c r="H96" s="85"/>
      <c r="I96" s="770"/>
      <c r="J96" s="770"/>
      <c r="K96" s="104" t="s">
        <v>97</v>
      </c>
      <c r="L96" s="113">
        <v>16141.208044191555</v>
      </c>
    </row>
    <row r="97" spans="1:12">
      <c r="A97" s="104" t="s">
        <v>96</v>
      </c>
      <c r="B97" s="93">
        <f t="shared" si="0"/>
        <v>12085.648548878777</v>
      </c>
      <c r="C97" s="93">
        <f t="shared" si="1"/>
        <v>12016.127746430075</v>
      </c>
      <c r="D97" s="93">
        <f t="shared" si="2"/>
        <v>12367.37634663125</v>
      </c>
      <c r="E97" s="93">
        <f t="shared" si="3"/>
        <v>12806.503867149702</v>
      </c>
      <c r="F97" s="93">
        <f t="shared" si="5"/>
        <v>12792.736400953063</v>
      </c>
      <c r="G97" s="113">
        <f t="shared" si="4"/>
        <v>12413.678582008575</v>
      </c>
      <c r="H97" s="85"/>
      <c r="I97" s="770"/>
      <c r="J97" s="770"/>
      <c r="K97" s="104" t="s">
        <v>93</v>
      </c>
      <c r="L97" s="113">
        <v>16943.582190936711</v>
      </c>
    </row>
    <row r="98" spans="1:12">
      <c r="A98" s="104" t="s">
        <v>97</v>
      </c>
      <c r="B98" s="93">
        <f t="shared" si="0"/>
        <v>15248.102176495291</v>
      </c>
      <c r="C98" s="93">
        <f t="shared" si="1"/>
        <v>15513.89658286212</v>
      </c>
      <c r="D98" s="93">
        <f t="shared" si="2"/>
        <v>16008.213548061594</v>
      </c>
      <c r="E98" s="93">
        <f t="shared" si="3"/>
        <v>16718.211879257549</v>
      </c>
      <c r="F98" s="93">
        <f t="shared" si="5"/>
        <v>17217.703969112768</v>
      </c>
      <c r="G98" s="113">
        <f t="shared" si="4"/>
        <v>16141.225631157864</v>
      </c>
      <c r="H98" s="85"/>
      <c r="I98" s="770"/>
      <c r="J98" s="770"/>
      <c r="K98" s="104" t="s">
        <v>105</v>
      </c>
      <c r="L98" s="113">
        <v>17519.356585053923</v>
      </c>
    </row>
    <row r="99" spans="1:12">
      <c r="A99" s="104" t="s">
        <v>98</v>
      </c>
      <c r="B99" s="93">
        <f t="shared" si="0"/>
        <v>20580.766397136853</v>
      </c>
      <c r="C99" s="93">
        <f t="shared" si="1"/>
        <v>20924.242532255368</v>
      </c>
      <c r="D99" s="93">
        <f t="shared" si="2"/>
        <v>21317.044078776569</v>
      </c>
      <c r="E99" s="93">
        <f t="shared" si="3"/>
        <v>22171.535595720612</v>
      </c>
      <c r="F99" s="93">
        <f t="shared" si="5"/>
        <v>22302.830541267755</v>
      </c>
      <c r="G99" s="113">
        <f t="shared" si="4"/>
        <v>21459.283829031432</v>
      </c>
      <c r="H99" s="85"/>
      <c r="I99" s="770"/>
      <c r="J99" s="770"/>
      <c r="K99" s="104" t="s">
        <v>94</v>
      </c>
      <c r="L99" s="113">
        <v>18356.860685271688</v>
      </c>
    </row>
    <row r="100" spans="1:12">
      <c r="A100" s="104" t="s">
        <v>99</v>
      </c>
      <c r="B100" s="93">
        <f t="shared" si="0"/>
        <v>17467.826412539845</v>
      </c>
      <c r="C100" s="93">
        <f t="shared" si="1"/>
        <v>18624.699034854784</v>
      </c>
      <c r="D100" s="93">
        <f t="shared" si="2"/>
        <v>18774.976352823061</v>
      </c>
      <c r="E100" s="93">
        <f t="shared" si="3"/>
        <v>19526.010358093725</v>
      </c>
      <c r="F100" s="93">
        <f t="shared" si="5"/>
        <v>19730.498352161758</v>
      </c>
      <c r="G100" s="113">
        <f t="shared" si="4"/>
        <v>18824.802102094633</v>
      </c>
      <c r="H100" s="85"/>
      <c r="I100" s="770"/>
      <c r="J100" s="770"/>
      <c r="K100" s="104" t="s">
        <v>95</v>
      </c>
      <c r="L100" s="113">
        <v>18634.848765937106</v>
      </c>
    </row>
    <row r="101" spans="1:12">
      <c r="A101" s="104" t="s">
        <v>100</v>
      </c>
      <c r="B101" s="93">
        <f t="shared" si="0"/>
        <v>15535.676664177612</v>
      </c>
      <c r="C101" s="93">
        <f t="shared" si="1"/>
        <v>15079.13583446046</v>
      </c>
      <c r="D101" s="93">
        <f t="shared" si="2"/>
        <v>15043.80974257223</v>
      </c>
      <c r="E101" s="93">
        <f t="shared" si="3"/>
        <v>18581.980644992418</v>
      </c>
      <c r="F101" s="93">
        <f t="shared" si="5"/>
        <v>15452.134204579565</v>
      </c>
      <c r="G101" s="113">
        <f t="shared" si="4"/>
        <v>15938.547418156455</v>
      </c>
      <c r="H101" s="85"/>
      <c r="I101" s="770"/>
      <c r="J101" s="770"/>
      <c r="K101" s="104" t="s">
        <v>99</v>
      </c>
      <c r="L101" s="113">
        <v>18824.798210011511</v>
      </c>
    </row>
    <row r="102" spans="1:12">
      <c r="A102" s="104" t="s">
        <v>101</v>
      </c>
      <c r="B102" s="93">
        <f t="shared" si="0"/>
        <v>18400.324778183836</v>
      </c>
      <c r="C102" s="93">
        <f t="shared" si="1"/>
        <v>18474.224705866494</v>
      </c>
      <c r="D102" s="93">
        <f t="shared" si="2"/>
        <v>19047.83498996048</v>
      </c>
      <c r="E102" s="93">
        <f t="shared" si="3"/>
        <v>20171.455916924708</v>
      </c>
      <c r="F102" s="93">
        <f t="shared" si="5"/>
        <v>20352.74683186553</v>
      </c>
      <c r="G102" s="113">
        <f t="shared" si="4"/>
        <v>19289.317444560209</v>
      </c>
      <c r="H102" s="85"/>
      <c r="I102" s="770"/>
      <c r="J102" s="770"/>
      <c r="K102" s="104" t="s">
        <v>101</v>
      </c>
      <c r="L102" s="113">
        <v>19289.306691347498</v>
      </c>
    </row>
    <row r="103" spans="1:12">
      <c r="A103" s="104" t="s">
        <v>102</v>
      </c>
      <c r="B103" s="93">
        <f t="shared" si="0"/>
        <v>17584.262003133634</v>
      </c>
      <c r="C103" s="93">
        <f t="shared" si="1"/>
        <v>18781.340959871075</v>
      </c>
      <c r="D103" s="93">
        <f t="shared" si="2"/>
        <v>19496.058848007848</v>
      </c>
      <c r="E103" s="93">
        <f t="shared" si="3"/>
        <v>20717.177159745424</v>
      </c>
      <c r="F103" s="93">
        <f t="shared" si="5"/>
        <v>20716.044185858362</v>
      </c>
      <c r="G103" s="113">
        <f t="shared" si="4"/>
        <v>19458.976631323269</v>
      </c>
      <c r="H103" s="85"/>
      <c r="I103" s="770"/>
      <c r="J103" s="770"/>
      <c r="K103" s="104" t="s">
        <v>102</v>
      </c>
      <c r="L103" s="113">
        <v>19458.944514879477</v>
      </c>
    </row>
    <row r="104" spans="1:12">
      <c r="A104" s="104" t="s">
        <v>103</v>
      </c>
      <c r="B104" s="93">
        <f>(B21/B41+B63/$B$46)/B83</f>
        <v>18778.971979460595</v>
      </c>
      <c r="C104" s="93">
        <f>(C21/C41+C63/$C$46)/C83</f>
        <v>18956.368920236444</v>
      </c>
      <c r="D104" s="93">
        <f>(D21/D41+D63/$D$46)/D83</f>
        <v>19859.208550942516</v>
      </c>
      <c r="E104" s="93">
        <f t="shared" ref="E104:E107" si="6">(E21/E41+E63/$E$46)/E83</f>
        <v>21657.587273045825</v>
      </c>
      <c r="F104" s="93">
        <f>(F21/F41+F63/$F$46)/F83</f>
        <v>21158.578293879851</v>
      </c>
      <c r="G104" s="113">
        <f t="shared" si="4"/>
        <v>20082.143003513047</v>
      </c>
      <c r="H104" s="85"/>
      <c r="I104" s="770"/>
      <c r="J104" s="770"/>
      <c r="K104" s="104" t="s">
        <v>103</v>
      </c>
      <c r="L104" s="113">
        <v>20082.028063314985</v>
      </c>
    </row>
    <row r="105" spans="1:12">
      <c r="A105" s="104" t="s">
        <v>104</v>
      </c>
      <c r="B105" s="93">
        <f>(B22/B42+B64/$B$46)/B84</f>
        <v>21549.773610234566</v>
      </c>
      <c r="C105" s="93">
        <f>(C22/C42+C64/$C$46)/C84</f>
        <v>19848.94766459462</v>
      </c>
      <c r="D105" s="93">
        <f>(D22/D42+D64/$D$46)/D84</f>
        <v>20532.981698178282</v>
      </c>
      <c r="E105" s="93">
        <f t="shared" si="6"/>
        <v>20519.505141318634</v>
      </c>
      <c r="F105" s="93">
        <f>(F22/F42+F64/$F$46)/F84</f>
        <v>18660.912825324212</v>
      </c>
      <c r="G105" s="113">
        <f t="shared" si="4"/>
        <v>20222.424187930061</v>
      </c>
      <c r="H105" s="85"/>
      <c r="I105" s="770"/>
      <c r="J105" s="770"/>
      <c r="K105" s="104" t="s">
        <v>104</v>
      </c>
      <c r="L105" s="113">
        <v>20222.399027952906</v>
      </c>
    </row>
    <row r="106" spans="1:12">
      <c r="A106" s="104" t="s">
        <v>105</v>
      </c>
      <c r="B106" s="93">
        <f>(B23/B43+B65/$B$46)/B85</f>
        <v>16515.424304502969</v>
      </c>
      <c r="C106" s="93">
        <f>(C23/C43+C65/$C$46)/C85</f>
        <v>16742.347036422372</v>
      </c>
      <c r="D106" s="93">
        <f>(D23/D43+D65/$D$46)/D85</f>
        <v>17396.602777838158</v>
      </c>
      <c r="E106" s="93">
        <f t="shared" si="6"/>
        <v>18504.426916833807</v>
      </c>
      <c r="F106" s="93">
        <f>(F23/F43+F65/$F$46)/F85</f>
        <v>18438.055371833467</v>
      </c>
      <c r="G106" s="113">
        <f t="shared" si="4"/>
        <v>17519.371281486157</v>
      </c>
      <c r="H106" s="85"/>
      <c r="I106" s="770"/>
      <c r="J106" s="770"/>
      <c r="K106" s="104" t="s">
        <v>98</v>
      </c>
      <c r="L106" s="113">
        <v>21459.237836267275</v>
      </c>
    </row>
    <row r="107" spans="1:12">
      <c r="A107" s="104" t="s">
        <v>106</v>
      </c>
      <c r="B107" s="93">
        <f>(B24/B44+B66/$B$46)/B86</f>
        <v>14769.206077496194</v>
      </c>
      <c r="C107" s="93">
        <f>(C24/C44+C66/$C$46)/C86</f>
        <v>15746.268371688955</v>
      </c>
      <c r="D107" s="93">
        <f>(D24/D44+D66/$D$46)/D86</f>
        <v>15725.674911789247</v>
      </c>
      <c r="E107" s="93">
        <f t="shared" si="6"/>
        <v>15610.938006173916</v>
      </c>
      <c r="F107" s="93">
        <f>(F24/F44+F66/$F$46)/F86</f>
        <v>16353.268987912024</v>
      </c>
      <c r="G107" s="113">
        <f t="shared" si="4"/>
        <v>15641.071271012066</v>
      </c>
      <c r="H107" s="85"/>
      <c r="I107" s="770"/>
      <c r="J107" s="770"/>
      <c r="K107" s="104" t="s">
        <v>107</v>
      </c>
      <c r="L107" s="113">
        <v>24410.493915329593</v>
      </c>
    </row>
    <row r="108" spans="1:12">
      <c r="A108" s="103" t="s">
        <v>107</v>
      </c>
      <c r="B108" s="94">
        <f>(B20/B45+B62/$B$46)/B87</f>
        <v>23431.854586585592</v>
      </c>
      <c r="C108" s="94">
        <f>(C20/C45+C62/$C$46)/C87</f>
        <v>23939.304052989592</v>
      </c>
      <c r="D108" s="94">
        <f>(D20/D45+D62/$D$46)/D87</f>
        <v>24120.414643653017</v>
      </c>
      <c r="E108" s="94">
        <f>(E20/E45+E62/$E$46)/E87</f>
        <v>25420.789321557815</v>
      </c>
      <c r="F108" s="94">
        <f>(F20/F45+F62/$F$46)/F87</f>
        <v>25140.646168163436</v>
      </c>
      <c r="G108" s="114">
        <f t="shared" si="4"/>
        <v>24410.601754589887</v>
      </c>
      <c r="H108" s="85"/>
      <c r="I108" s="770"/>
      <c r="J108" s="770"/>
      <c r="K108" s="103" t="s">
        <v>92</v>
      </c>
      <c r="L108" s="114">
        <v>24808.268724193109</v>
      </c>
    </row>
    <row r="109" spans="1:12">
      <c r="A109" s="85" t="s">
        <v>323</v>
      </c>
      <c r="B109" s="93">
        <f>(B25+B67)/B46/B88</f>
        <v>20173.784453845419</v>
      </c>
      <c r="C109" s="93">
        <f>(C25+C67)/C46/C88</f>
        <v>20578.547615114305</v>
      </c>
      <c r="D109" s="93">
        <f>(D25+D67)/D46/D88</f>
        <v>21027.54904964245</v>
      </c>
      <c r="E109" s="93">
        <f>(E25+E67)/E46/E88</f>
        <v>22173.152135158758</v>
      </c>
      <c r="F109" s="93">
        <f>(F25+F67)/F46/F88</f>
        <v>22096.89740615536</v>
      </c>
      <c r="G109" s="93"/>
      <c r="H109" s="770"/>
      <c r="I109" s="770"/>
      <c r="J109" s="770"/>
      <c r="K109" s="85" t="s">
        <v>323</v>
      </c>
      <c r="L109" s="770"/>
    </row>
    <row r="110" spans="1:12">
      <c r="A110" s="85"/>
      <c r="B110" s="93"/>
      <c r="C110" s="93"/>
      <c r="D110" s="93"/>
      <c r="E110" s="93"/>
      <c r="F110" s="93"/>
      <c r="G110" s="85"/>
      <c r="H110" s="770"/>
      <c r="I110" s="770"/>
      <c r="J110" s="770"/>
      <c r="K110" s="770"/>
      <c r="L110" s="770"/>
    </row>
    <row r="111" spans="1:12">
      <c r="A111" s="104"/>
      <c r="B111" s="93"/>
      <c r="C111" s="93"/>
      <c r="D111" s="93"/>
      <c r="E111" s="93"/>
      <c r="F111" s="93"/>
      <c r="G111" s="93"/>
      <c r="H111" s="85"/>
      <c r="I111" s="770"/>
      <c r="J111" s="770"/>
      <c r="K111" s="770"/>
      <c r="L111" s="770"/>
    </row>
    <row r="112" spans="1:12">
      <c r="A112" s="104" t="s">
        <v>324</v>
      </c>
      <c r="B112" s="85"/>
      <c r="C112" s="93"/>
      <c r="D112" s="93"/>
      <c r="E112" s="85"/>
      <c r="F112" s="93"/>
      <c r="G112" s="93"/>
      <c r="H112" s="85"/>
      <c r="I112" s="770"/>
      <c r="J112" s="770"/>
      <c r="K112" s="770"/>
      <c r="L112" s="770"/>
    </row>
    <row r="113" spans="1:17">
      <c r="A113" s="111"/>
      <c r="B113" s="111"/>
      <c r="C113" s="107">
        <v>2024</v>
      </c>
      <c r="D113" s="85"/>
      <c r="E113" s="93"/>
      <c r="F113" s="93"/>
      <c r="G113" s="93"/>
      <c r="H113" s="85"/>
      <c r="I113" s="770"/>
      <c r="J113" s="770"/>
      <c r="K113" s="770"/>
      <c r="L113" s="770"/>
      <c r="M113" s="770"/>
      <c r="N113" s="770"/>
      <c r="O113" s="770"/>
      <c r="P113" s="770"/>
      <c r="Q113" s="770"/>
    </row>
    <row r="114" spans="1:17">
      <c r="A114" s="85" t="s">
        <v>325</v>
      </c>
      <c r="B114" s="85"/>
      <c r="C114" s="85">
        <v>1.1599999999999999</v>
      </c>
      <c r="D114" s="85"/>
      <c r="E114" s="85"/>
      <c r="F114" s="85"/>
      <c r="G114" s="85"/>
      <c r="H114" s="85"/>
      <c r="I114" s="770"/>
      <c r="J114" s="770"/>
      <c r="K114" s="770"/>
      <c r="L114" s="770"/>
      <c r="M114" s="770"/>
      <c r="N114" s="770"/>
      <c r="O114" s="770"/>
      <c r="P114" s="770"/>
      <c r="Q114" s="770"/>
    </row>
    <row r="115" spans="1:17">
      <c r="A115" s="85"/>
      <c r="B115" s="85"/>
      <c r="C115" s="85"/>
      <c r="D115" s="85"/>
      <c r="E115" s="85"/>
      <c r="F115" s="117"/>
      <c r="G115" s="85"/>
      <c r="H115" s="85"/>
      <c r="I115" s="770"/>
      <c r="J115" s="770"/>
      <c r="K115" s="770"/>
      <c r="L115" s="770"/>
      <c r="M115" s="770"/>
      <c r="N115" s="770"/>
      <c r="O115" s="770"/>
      <c r="P115" s="770"/>
      <c r="Q115" s="770"/>
    </row>
    <row r="116" spans="1:17">
      <c r="A116" s="85"/>
      <c r="B116" s="85"/>
      <c r="C116" s="85"/>
      <c r="D116" s="85"/>
      <c r="E116" s="85"/>
      <c r="F116" s="85"/>
      <c r="G116" s="85"/>
      <c r="H116" s="85"/>
      <c r="I116" s="770"/>
      <c r="J116" s="770"/>
      <c r="K116" s="770"/>
      <c r="L116" s="770"/>
      <c r="M116" s="770"/>
      <c r="N116" s="770"/>
      <c r="O116" s="770"/>
      <c r="P116" s="770"/>
      <c r="Q116" s="770"/>
    </row>
    <row r="117" spans="1:17">
      <c r="A117" s="103" t="s">
        <v>326</v>
      </c>
      <c r="B117" s="105"/>
      <c r="C117" s="103">
        <v>2024</v>
      </c>
      <c r="D117" s="85"/>
      <c r="E117" s="85"/>
      <c r="F117" s="85"/>
      <c r="G117" s="117"/>
      <c r="H117" s="85"/>
      <c r="I117" s="770"/>
      <c r="J117" s="770"/>
      <c r="K117" s="770"/>
      <c r="L117" s="770"/>
      <c r="M117" s="770"/>
      <c r="N117" s="770"/>
      <c r="O117" s="770"/>
      <c r="P117" s="770"/>
      <c r="Q117" s="770"/>
    </row>
    <row r="118" spans="1:17">
      <c r="A118" s="85" t="s">
        <v>327</v>
      </c>
      <c r="B118" s="85"/>
      <c r="C118" s="93">
        <f>SUM($B$109:$F$109)/5*C114</f>
        <v>24603.583913100581</v>
      </c>
      <c r="D118" s="85"/>
      <c r="E118" s="85"/>
      <c r="F118" s="117"/>
      <c r="G118" s="770"/>
      <c r="H118" s="117"/>
      <c r="I118" s="770"/>
      <c r="J118" s="770"/>
      <c r="K118" s="770"/>
      <c r="L118" s="770"/>
      <c r="M118" s="770"/>
      <c r="N118" s="770"/>
      <c r="O118" s="770"/>
      <c r="P118" s="770"/>
      <c r="Q118" s="770"/>
    </row>
    <row r="119" spans="1:17">
      <c r="A119" s="85"/>
      <c r="B119" s="85"/>
      <c r="C119" s="85"/>
      <c r="D119" s="85"/>
      <c r="E119" s="85"/>
      <c r="F119" s="85"/>
      <c r="G119" s="117"/>
      <c r="H119" s="85"/>
      <c r="I119" s="770"/>
      <c r="J119" s="770"/>
      <c r="K119" s="770"/>
      <c r="L119" s="770"/>
      <c r="M119" s="770"/>
      <c r="N119" s="770"/>
      <c r="O119" s="770"/>
      <c r="P119" s="770"/>
      <c r="Q119" s="770"/>
    </row>
    <row r="120" spans="1:17">
      <c r="A120" s="85"/>
      <c r="B120" s="85"/>
      <c r="C120" s="85"/>
      <c r="D120" s="85"/>
      <c r="E120" s="85"/>
      <c r="F120" s="85"/>
      <c r="G120" s="85"/>
      <c r="H120" s="85"/>
      <c r="I120" s="770"/>
      <c r="J120" s="770"/>
      <c r="K120" s="770"/>
      <c r="L120" s="770"/>
      <c r="M120" s="770"/>
      <c r="N120" s="770"/>
      <c r="O120" s="770"/>
      <c r="P120" s="770"/>
      <c r="Q120" s="770"/>
    </row>
    <row r="121" spans="1:17">
      <c r="A121" s="85"/>
      <c r="B121" s="85"/>
      <c r="C121" s="85"/>
      <c r="D121" s="85"/>
      <c r="E121" s="85"/>
      <c r="F121" s="85"/>
      <c r="G121" s="85"/>
      <c r="H121" s="85"/>
      <c r="I121" s="770"/>
      <c r="J121" s="770"/>
      <c r="K121" s="770"/>
      <c r="L121" s="770"/>
      <c r="M121" s="770"/>
      <c r="N121" s="770"/>
      <c r="O121" s="770"/>
      <c r="P121" s="770"/>
      <c r="Q121" s="770"/>
    </row>
    <row r="122" spans="1:17">
      <c r="A122" s="103" t="s">
        <v>328</v>
      </c>
      <c r="B122" s="105"/>
      <c r="C122" s="550"/>
      <c r="D122" s="105"/>
      <c r="E122" s="105"/>
      <c r="F122" s="105"/>
      <c r="G122" s="105"/>
      <c r="H122" s="85"/>
      <c r="I122" s="4"/>
      <c r="J122" s="770"/>
      <c r="K122" s="770"/>
      <c r="L122" s="770"/>
      <c r="M122" s="770"/>
      <c r="N122" s="770"/>
      <c r="O122" s="770"/>
      <c r="P122" s="770"/>
      <c r="Q122" s="770"/>
    </row>
    <row r="123" spans="1:17" ht="24.75">
      <c r="A123" s="111"/>
      <c r="B123" s="115" t="s">
        <v>329</v>
      </c>
      <c r="C123" s="115" t="s">
        <v>330</v>
      </c>
      <c r="D123" s="107" t="s">
        <v>331</v>
      </c>
      <c r="E123" s="111"/>
      <c r="F123" s="107">
        <v>2024</v>
      </c>
      <c r="G123" s="116">
        <v>2024</v>
      </c>
      <c r="H123" s="85"/>
      <c r="I123" s="116">
        <v>2023</v>
      </c>
      <c r="J123" s="559" t="s">
        <v>130</v>
      </c>
      <c r="K123" s="770"/>
      <c r="L123" s="4"/>
      <c r="M123" s="770"/>
      <c r="N123" s="770"/>
      <c r="O123" s="4"/>
      <c r="P123" s="770"/>
      <c r="Q123" s="770"/>
    </row>
    <row r="124" spans="1:17">
      <c r="A124" s="104" t="s">
        <v>92</v>
      </c>
      <c r="B124" s="93">
        <f>$C$118-G93</f>
        <v>-204.85379154207112</v>
      </c>
      <c r="C124" s="418">
        <f>IF(H30&lt;$H$46,H30,$H$46)</f>
        <v>0.1750277584596511</v>
      </c>
      <c r="D124" s="93">
        <f>I72</f>
        <v>450</v>
      </c>
      <c r="E124" s="117">
        <v>0.95</v>
      </c>
      <c r="F124" s="117">
        <f>ROUND(B124*C124*D124*E124,2)</f>
        <v>-15328.06</v>
      </c>
      <c r="G124" s="413">
        <f>ROUND(IF(F124&gt;0,F124,0),2)</f>
        <v>0</v>
      </c>
      <c r="H124" s="85"/>
      <c r="I124" s="413">
        <v>68628.899999999994</v>
      </c>
      <c r="J124" s="413">
        <f>G124-I124</f>
        <v>-68628.899999999994</v>
      </c>
      <c r="K124" s="770"/>
      <c r="L124" s="4"/>
      <c r="M124" s="770"/>
      <c r="N124" s="770"/>
      <c r="O124" s="4"/>
      <c r="P124" s="804"/>
      <c r="Q124" s="810"/>
    </row>
    <row r="125" spans="1:17">
      <c r="A125" s="104" t="s">
        <v>93</v>
      </c>
      <c r="B125" s="93">
        <f t="shared" ref="B125:B138" si="7">$C$118-G94</f>
        <v>7659.9710141210671</v>
      </c>
      <c r="C125" s="418">
        <f t="shared" ref="C125:C139" si="8">IF(H31&lt;$H$46,H31,$H$46)</f>
        <v>0.1750277584596511</v>
      </c>
      <c r="D125" s="93">
        <f t="shared" ref="D125:D139" si="9">I73</f>
        <v>939</v>
      </c>
      <c r="E125" s="117">
        <v>0.95</v>
      </c>
      <c r="F125" s="117">
        <f t="shared" ref="F125:F139" si="10">ROUND(B125*C125*D125*E125,2)</f>
        <v>1195978.18</v>
      </c>
      <c r="G125" s="413">
        <f t="shared" ref="G125:G139" si="11">ROUND(IF(F125&gt;0,F125,0),2)</f>
        <v>1195978.18</v>
      </c>
      <c r="H125" s="85"/>
      <c r="I125" s="413">
        <v>1146699.67</v>
      </c>
      <c r="J125" s="413">
        <f t="shared" ref="J125:J140" si="12">G125-I125</f>
        <v>49278.510000000009</v>
      </c>
      <c r="K125" s="770"/>
      <c r="L125" s="4"/>
      <c r="M125" s="770"/>
      <c r="N125" s="770"/>
      <c r="O125" s="4"/>
      <c r="P125" s="804"/>
      <c r="Q125" s="810"/>
    </row>
    <row r="126" spans="1:17">
      <c r="A126" s="104" t="s">
        <v>94</v>
      </c>
      <c r="B126" s="93">
        <f t="shared" si="7"/>
        <v>6246.6810833791642</v>
      </c>
      <c r="C126" s="418">
        <f t="shared" si="8"/>
        <v>0.1750277584596511</v>
      </c>
      <c r="D126" s="93">
        <f t="shared" si="9"/>
        <v>2588</v>
      </c>
      <c r="E126" s="117">
        <v>0.95</v>
      </c>
      <c r="F126" s="117">
        <f t="shared" si="10"/>
        <v>2688092.09</v>
      </c>
      <c r="G126" s="413">
        <f t="shared" si="11"/>
        <v>2688092.09</v>
      </c>
      <c r="H126" s="85"/>
      <c r="I126" s="413">
        <v>2648623.6</v>
      </c>
      <c r="J126" s="413">
        <f t="shared" si="12"/>
        <v>39468.489999999758</v>
      </c>
      <c r="K126" s="770"/>
      <c r="L126" s="4"/>
      <c r="M126" s="770"/>
      <c r="N126" s="770"/>
      <c r="O126" s="4"/>
      <c r="P126" s="804"/>
      <c r="Q126" s="810"/>
    </row>
    <row r="127" spans="1:17">
      <c r="A127" s="104" t="s">
        <v>95</v>
      </c>
      <c r="B127" s="93">
        <f t="shared" si="7"/>
        <v>5968.6513808923155</v>
      </c>
      <c r="C127" s="418">
        <f t="shared" si="8"/>
        <v>0.1750277584596511</v>
      </c>
      <c r="D127" s="93">
        <f t="shared" si="9"/>
        <v>504</v>
      </c>
      <c r="E127" s="117">
        <v>0.95</v>
      </c>
      <c r="F127" s="117">
        <f t="shared" si="10"/>
        <v>500192.63</v>
      </c>
      <c r="G127" s="413">
        <f t="shared" si="11"/>
        <v>500192.63</v>
      </c>
      <c r="H127" s="85"/>
      <c r="I127" s="413">
        <v>478372.48</v>
      </c>
      <c r="J127" s="413">
        <f t="shared" si="12"/>
        <v>21820.150000000023</v>
      </c>
      <c r="K127" s="770"/>
      <c r="L127" s="4"/>
      <c r="M127" s="770"/>
      <c r="N127" s="770"/>
      <c r="O127" s="4"/>
      <c r="P127" s="804"/>
      <c r="Q127" s="810"/>
    </row>
    <row r="128" spans="1:17">
      <c r="A128" s="104" t="s">
        <v>96</v>
      </c>
      <c r="B128" s="93">
        <f t="shared" si="7"/>
        <v>12189.905331092006</v>
      </c>
      <c r="C128" s="418">
        <f t="shared" si="8"/>
        <v>0.1750277584596511</v>
      </c>
      <c r="D128" s="93">
        <f t="shared" si="9"/>
        <v>507</v>
      </c>
      <c r="E128" s="117">
        <v>0.95</v>
      </c>
      <c r="F128" s="117">
        <f t="shared" si="10"/>
        <v>1027634.86</v>
      </c>
      <c r="G128" s="413">
        <f t="shared" si="11"/>
        <v>1027634.86</v>
      </c>
      <c r="H128" s="85"/>
      <c r="I128" s="413">
        <v>977016.88</v>
      </c>
      <c r="J128" s="413">
        <f t="shared" si="12"/>
        <v>50617.979999999981</v>
      </c>
      <c r="K128" s="770"/>
      <c r="L128" s="4"/>
      <c r="M128" s="770"/>
      <c r="N128" s="770"/>
      <c r="O128" s="4"/>
      <c r="P128" s="804"/>
      <c r="Q128" s="810"/>
    </row>
    <row r="129" spans="1:17">
      <c r="A129" s="104" t="s">
        <v>97</v>
      </c>
      <c r="B129" s="93">
        <f t="shared" si="7"/>
        <v>8462.3582819427174</v>
      </c>
      <c r="C129" s="418">
        <f t="shared" si="8"/>
        <v>0.1750277584596511</v>
      </c>
      <c r="D129" s="93">
        <f t="shared" si="9"/>
        <v>1628</v>
      </c>
      <c r="E129" s="117">
        <v>0.95</v>
      </c>
      <c r="F129" s="117">
        <f t="shared" si="10"/>
        <v>2290742.88</v>
      </c>
      <c r="G129" s="413">
        <f t="shared" si="11"/>
        <v>2290742.88</v>
      </c>
      <c r="H129" s="85"/>
      <c r="I129" s="413">
        <v>2157929.5</v>
      </c>
      <c r="J129" s="413">
        <f t="shared" si="12"/>
        <v>132813.37999999989</v>
      </c>
      <c r="K129" s="770"/>
      <c r="L129" s="4"/>
      <c r="M129" s="770"/>
      <c r="N129" s="770"/>
      <c r="O129" s="4"/>
      <c r="P129" s="804"/>
      <c r="Q129" s="810"/>
    </row>
    <row r="130" spans="1:17">
      <c r="A130" s="104" t="s">
        <v>98</v>
      </c>
      <c r="B130" s="93">
        <f t="shared" si="7"/>
        <v>3144.3000840691493</v>
      </c>
      <c r="C130" s="418">
        <f t="shared" si="8"/>
        <v>0.16500000000000001</v>
      </c>
      <c r="D130" s="93">
        <f t="shared" si="9"/>
        <v>5610</v>
      </c>
      <c r="E130" s="117">
        <v>0.95</v>
      </c>
      <c r="F130" s="117">
        <f t="shared" si="10"/>
        <v>2764995.3</v>
      </c>
      <c r="G130" s="413">
        <f t="shared" si="11"/>
        <v>2764995.3</v>
      </c>
      <c r="H130" s="85"/>
      <c r="I130" s="413">
        <v>2433511</v>
      </c>
      <c r="J130" s="413">
        <f t="shared" si="12"/>
        <v>331484.29999999981</v>
      </c>
      <c r="K130" s="770"/>
      <c r="L130" s="4"/>
      <c r="M130" s="770"/>
      <c r="N130" s="770"/>
      <c r="O130" s="4"/>
      <c r="P130" s="804"/>
      <c r="Q130" s="810"/>
    </row>
    <row r="131" spans="1:17">
      <c r="A131" s="104" t="s">
        <v>99</v>
      </c>
      <c r="B131" s="93">
        <f t="shared" si="7"/>
        <v>5778.7818110059488</v>
      </c>
      <c r="C131" s="418">
        <f t="shared" si="8"/>
        <v>0.1750277584596511</v>
      </c>
      <c r="D131" s="93">
        <f t="shared" si="9"/>
        <v>306</v>
      </c>
      <c r="E131" s="117">
        <v>0.95</v>
      </c>
      <c r="F131" s="117">
        <f t="shared" si="10"/>
        <v>294027.71000000002</v>
      </c>
      <c r="G131" s="413">
        <f t="shared" si="11"/>
        <v>294027.71000000002</v>
      </c>
      <c r="H131" s="85"/>
      <c r="I131" s="413">
        <v>287747.42</v>
      </c>
      <c r="J131" s="413">
        <f t="shared" si="12"/>
        <v>6280.2900000000373</v>
      </c>
      <c r="K131" s="770"/>
      <c r="L131" s="4"/>
      <c r="M131" s="770"/>
      <c r="N131" s="770"/>
      <c r="O131" s="4"/>
      <c r="P131" s="804"/>
      <c r="Q131" s="810"/>
    </row>
    <row r="132" spans="1:17">
      <c r="A132" s="104" t="s">
        <v>100</v>
      </c>
      <c r="B132" s="93">
        <f t="shared" si="7"/>
        <v>8665.0364949441264</v>
      </c>
      <c r="C132" s="418">
        <f t="shared" si="8"/>
        <v>0.1750277584596511</v>
      </c>
      <c r="D132" s="93">
        <f t="shared" si="9"/>
        <v>223</v>
      </c>
      <c r="E132" s="117">
        <v>0.95</v>
      </c>
      <c r="F132" s="117">
        <f t="shared" si="10"/>
        <v>321296.34999999998</v>
      </c>
      <c r="G132" s="413">
        <f t="shared" si="11"/>
        <v>321296.34999999998</v>
      </c>
      <c r="H132" s="85"/>
      <c r="I132" s="413">
        <v>296090.08</v>
      </c>
      <c r="J132" s="413">
        <f t="shared" si="12"/>
        <v>25206.26999999996</v>
      </c>
      <c r="K132" s="770"/>
      <c r="L132" s="4"/>
      <c r="M132" s="770"/>
      <c r="N132" s="770"/>
      <c r="O132" s="4"/>
      <c r="P132" s="804"/>
      <c r="Q132" s="810"/>
    </row>
    <row r="133" spans="1:17">
      <c r="A133" s="104" t="s">
        <v>101</v>
      </c>
      <c r="B133" s="93">
        <f t="shared" si="7"/>
        <v>5314.2664685403724</v>
      </c>
      <c r="C133" s="418">
        <f t="shared" si="8"/>
        <v>0.17499999999999999</v>
      </c>
      <c r="D133" s="93">
        <f t="shared" si="9"/>
        <v>2131</v>
      </c>
      <c r="E133" s="117">
        <v>0.95</v>
      </c>
      <c r="F133" s="117">
        <f t="shared" si="10"/>
        <v>1882731.68</v>
      </c>
      <c r="G133" s="413">
        <f t="shared" si="11"/>
        <v>1882731.68</v>
      </c>
      <c r="H133" s="85"/>
      <c r="I133" s="413">
        <v>1792362.93</v>
      </c>
      <c r="J133" s="413">
        <f t="shared" si="12"/>
        <v>90368.75</v>
      </c>
      <c r="K133" s="770"/>
      <c r="L133" s="4"/>
      <c r="M133" s="770"/>
      <c r="N133" s="770"/>
      <c r="O133" s="4"/>
      <c r="P133" s="804"/>
      <c r="Q133" s="810"/>
    </row>
    <row r="134" spans="1:17">
      <c r="A134" s="104" t="s">
        <v>102</v>
      </c>
      <c r="B134" s="93">
        <f t="shared" si="7"/>
        <v>5144.6072817773129</v>
      </c>
      <c r="C134" s="418">
        <f t="shared" si="8"/>
        <v>0.1750277584596511</v>
      </c>
      <c r="D134" s="93">
        <f t="shared" si="9"/>
        <v>360</v>
      </c>
      <c r="E134" s="117">
        <v>0.95</v>
      </c>
      <c r="F134" s="117">
        <f t="shared" si="10"/>
        <v>307953.59000000003</v>
      </c>
      <c r="G134" s="413">
        <f t="shared" si="11"/>
        <v>307953.59000000003</v>
      </c>
      <c r="H134" s="85"/>
      <c r="I134" s="413">
        <v>314717.59000000003</v>
      </c>
      <c r="J134" s="413">
        <f t="shared" si="12"/>
        <v>-6764</v>
      </c>
      <c r="K134" s="770"/>
      <c r="L134" s="4"/>
      <c r="M134" s="770"/>
      <c r="N134" s="770"/>
      <c r="O134" s="4"/>
      <c r="P134" s="804"/>
      <c r="Q134" s="810"/>
    </row>
    <row r="135" spans="1:17">
      <c r="A135" s="104" t="s">
        <v>103</v>
      </c>
      <c r="B135" s="93">
        <f t="shared" si="7"/>
        <v>4521.4409095875344</v>
      </c>
      <c r="C135" s="418">
        <f t="shared" si="8"/>
        <v>0.1750277584596511</v>
      </c>
      <c r="D135" s="93">
        <f t="shared" si="9"/>
        <v>1793</v>
      </c>
      <c r="E135" s="117">
        <v>0.95</v>
      </c>
      <c r="F135" s="117">
        <f t="shared" si="10"/>
        <v>1347993.15</v>
      </c>
      <c r="G135" s="413">
        <f t="shared" si="11"/>
        <v>1347993.15</v>
      </c>
      <c r="H135" s="85"/>
      <c r="I135" s="413">
        <v>1271807.68</v>
      </c>
      <c r="J135" s="413">
        <f t="shared" si="12"/>
        <v>76185.469999999972</v>
      </c>
      <c r="K135" s="770"/>
      <c r="L135" s="4"/>
      <c r="M135" s="770"/>
      <c r="N135" s="770"/>
      <c r="O135" s="4"/>
      <c r="P135" s="804"/>
      <c r="Q135" s="810"/>
    </row>
    <row r="136" spans="1:17">
      <c r="A136" s="104" t="s">
        <v>104</v>
      </c>
      <c r="B136" s="93">
        <f t="shared" si="7"/>
        <v>4381.1597251705207</v>
      </c>
      <c r="C136" s="418">
        <f t="shared" si="8"/>
        <v>0.1750277584596511</v>
      </c>
      <c r="D136" s="93">
        <f t="shared" si="9"/>
        <v>111</v>
      </c>
      <c r="E136" s="117">
        <v>0.95</v>
      </c>
      <c r="F136" s="117">
        <f t="shared" si="10"/>
        <v>80861.649999999994</v>
      </c>
      <c r="G136" s="413">
        <f t="shared" si="11"/>
        <v>80861.649999999994</v>
      </c>
      <c r="H136" s="85"/>
      <c r="I136" s="413">
        <v>58493.25</v>
      </c>
      <c r="J136" s="413">
        <f t="shared" si="12"/>
        <v>22368.399999999994</v>
      </c>
      <c r="K136" s="770"/>
      <c r="L136" s="4"/>
      <c r="M136" s="770"/>
      <c r="N136" s="770"/>
      <c r="O136" s="4"/>
      <c r="P136" s="804"/>
      <c r="Q136" s="810"/>
    </row>
    <row r="137" spans="1:17">
      <c r="A137" s="104" t="s">
        <v>105</v>
      </c>
      <c r="B137" s="93">
        <f t="shared" si="7"/>
        <v>7084.212631614424</v>
      </c>
      <c r="C137" s="418">
        <f t="shared" si="8"/>
        <v>0.1750277584596511</v>
      </c>
      <c r="D137" s="93">
        <f t="shared" si="9"/>
        <v>1001</v>
      </c>
      <c r="E137" s="117">
        <v>0.95</v>
      </c>
      <c r="F137" s="117">
        <f t="shared" si="10"/>
        <v>1179115.1000000001</v>
      </c>
      <c r="G137" s="413">
        <f t="shared" si="11"/>
        <v>1179115.1000000001</v>
      </c>
      <c r="H137" s="85"/>
      <c r="I137" s="413">
        <v>1136683.8899999999</v>
      </c>
      <c r="J137" s="413">
        <f t="shared" si="12"/>
        <v>42431.210000000196</v>
      </c>
      <c r="K137" s="770"/>
      <c r="L137" s="4"/>
      <c r="M137" s="770"/>
      <c r="N137" s="770"/>
      <c r="O137" s="4"/>
      <c r="P137" s="804"/>
      <c r="Q137" s="810"/>
    </row>
    <row r="138" spans="1:17">
      <c r="A138" s="104" t="s">
        <v>106</v>
      </c>
      <c r="B138" s="93">
        <f t="shared" si="7"/>
        <v>8962.5126420885153</v>
      </c>
      <c r="C138" s="418">
        <f t="shared" si="8"/>
        <v>0.1750277584596511</v>
      </c>
      <c r="D138" s="93">
        <f t="shared" si="9"/>
        <v>451</v>
      </c>
      <c r="E138" s="117">
        <v>0.95</v>
      </c>
      <c r="F138" s="117">
        <f t="shared" si="10"/>
        <v>672104.59</v>
      </c>
      <c r="G138" s="413">
        <f t="shared" si="11"/>
        <v>672104.59</v>
      </c>
      <c r="H138" s="85"/>
      <c r="I138" s="413">
        <v>661780.59</v>
      </c>
      <c r="J138" s="413">
        <f t="shared" si="12"/>
        <v>10324</v>
      </c>
      <c r="K138" s="770"/>
      <c r="L138" s="4"/>
      <c r="M138" s="770"/>
      <c r="N138" s="770"/>
      <c r="O138" s="4"/>
      <c r="P138" s="804"/>
      <c r="Q138" s="810"/>
    </row>
    <row r="139" spans="1:17" ht="15.75" thickBot="1">
      <c r="A139" s="103" t="s">
        <v>107</v>
      </c>
      <c r="B139" s="94">
        <f>$C$118-G108</f>
        <v>192.98215851069472</v>
      </c>
      <c r="C139" s="419">
        <f t="shared" si="8"/>
        <v>0.17</v>
      </c>
      <c r="D139" s="94">
        <f t="shared" si="9"/>
        <v>11757</v>
      </c>
      <c r="E139" s="119">
        <v>0.95</v>
      </c>
      <c r="F139" s="119">
        <f t="shared" si="10"/>
        <v>366425.93</v>
      </c>
      <c r="G139" s="414">
        <f t="shared" si="11"/>
        <v>366425.93</v>
      </c>
      <c r="H139" s="85"/>
      <c r="I139" s="414">
        <v>0</v>
      </c>
      <c r="J139" s="414">
        <f t="shared" si="12"/>
        <v>366425.93</v>
      </c>
      <c r="K139" s="770"/>
      <c r="L139" s="770"/>
      <c r="M139" s="770"/>
      <c r="N139" s="512"/>
      <c r="O139" s="4"/>
      <c r="P139" s="804"/>
      <c r="Q139" s="810"/>
    </row>
    <row r="140" spans="1:17">
      <c r="A140" s="104" t="s">
        <v>108</v>
      </c>
      <c r="B140" s="85"/>
      <c r="C140" s="85"/>
      <c r="D140" s="93"/>
      <c r="E140" s="85"/>
      <c r="F140" s="121"/>
      <c r="G140" s="415">
        <f>SUM(G124:G139)</f>
        <v>16920145.690000001</v>
      </c>
      <c r="H140" s="85"/>
      <c r="I140" s="415">
        <v>15730465.460000001</v>
      </c>
      <c r="J140" s="415">
        <f t="shared" si="12"/>
        <v>1189680.2300000004</v>
      </c>
      <c r="K140" s="804"/>
      <c r="L140" s="770"/>
      <c r="M140" s="770"/>
      <c r="N140" s="770"/>
      <c r="O140" s="770"/>
      <c r="P140" s="804"/>
      <c r="Q140" s="810"/>
    </row>
    <row r="141" spans="1:17">
      <c r="A141" s="85"/>
      <c r="B141" s="85"/>
      <c r="C141" s="85"/>
      <c r="D141" s="85"/>
      <c r="E141" s="85"/>
      <c r="F141" s="85"/>
      <c r="G141" s="85"/>
      <c r="H141" s="85"/>
      <c r="I141" s="770"/>
      <c r="J141" s="770"/>
      <c r="K141" s="811"/>
      <c r="L141" s="770"/>
      <c r="M141" s="770"/>
      <c r="N141" s="770"/>
      <c r="O141" s="770"/>
      <c r="P141" s="770"/>
      <c r="Q141" s="770"/>
    </row>
    <row r="142" spans="1:17">
      <c r="A142" s="104" t="s">
        <v>332</v>
      </c>
      <c r="B142" s="85"/>
      <c r="C142" s="85"/>
      <c r="D142" s="85"/>
      <c r="E142" s="85"/>
      <c r="F142" s="85"/>
      <c r="G142" s="85"/>
      <c r="H142" s="85"/>
      <c r="I142" s="770"/>
      <c r="J142" s="770"/>
      <c r="K142" s="770"/>
      <c r="L142" s="770"/>
      <c r="M142" s="770"/>
      <c r="N142" s="770"/>
      <c r="O142" s="770"/>
      <c r="P142" s="770"/>
      <c r="Q142" s="770"/>
    </row>
    <row r="143" spans="1:17">
      <c r="A143" s="85"/>
      <c r="B143" s="85"/>
      <c r="C143" s="85"/>
      <c r="D143" s="85"/>
      <c r="E143" s="85"/>
      <c r="F143" s="85"/>
      <c r="G143" s="85"/>
      <c r="H143" s="85"/>
      <c r="I143" s="770"/>
      <c r="J143" s="770"/>
      <c r="K143" s="770"/>
      <c r="L143" s="770"/>
      <c r="M143" s="770"/>
      <c r="N143" s="770"/>
      <c r="O143" s="770"/>
      <c r="P143" s="770"/>
      <c r="Q143" s="770"/>
    </row>
    <row r="144" spans="1:17">
      <c r="A144" s="85"/>
      <c r="B144" s="85"/>
      <c r="C144" s="85"/>
      <c r="D144" s="85"/>
      <c r="E144" s="85"/>
      <c r="F144" s="85"/>
      <c r="G144" s="85"/>
      <c r="H144" s="85"/>
      <c r="I144" s="770"/>
      <c r="J144" s="770"/>
      <c r="K144" s="770"/>
      <c r="L144" s="770"/>
      <c r="M144" s="770"/>
      <c r="N144" s="770"/>
      <c r="O144" s="770"/>
      <c r="P144" s="770"/>
      <c r="Q144" s="770"/>
    </row>
    <row r="145" spans="1:8">
      <c r="A145" s="85"/>
      <c r="B145" s="85"/>
      <c r="C145" s="85"/>
      <c r="D145" s="85"/>
      <c r="E145" s="85"/>
      <c r="F145" s="85"/>
      <c r="G145" s="85"/>
      <c r="H145" s="85"/>
    </row>
    <row r="146" spans="1:8">
      <c r="A146" s="85"/>
      <c r="B146" s="85"/>
      <c r="C146" s="104">
        <v>2024</v>
      </c>
      <c r="D146" s="85"/>
      <c r="E146" s="85"/>
      <c r="F146" s="85"/>
      <c r="G146" s="85"/>
      <c r="H146" s="85"/>
    </row>
    <row r="147" spans="1:8">
      <c r="A147" s="85" t="s">
        <v>333</v>
      </c>
      <c r="B147" s="85"/>
      <c r="C147" s="185">
        <f>G140/'Lsandelar totalt'!L26</f>
        <v>0.41135794923510155</v>
      </c>
      <c r="D147" s="770"/>
      <c r="E147" s="85"/>
      <c r="F147" s="85"/>
      <c r="G147" s="85"/>
      <c r="H147" s="85"/>
    </row>
    <row r="148" spans="1:8">
      <c r="A148" s="85"/>
      <c r="B148" s="85"/>
      <c r="C148" s="85"/>
      <c r="D148" s="85"/>
      <c r="E148" s="85"/>
      <c r="F148" s="85"/>
      <c r="G148" s="85"/>
      <c r="H148" s="85"/>
    </row>
    <row r="149" spans="1:8">
      <c r="A149" s="85"/>
      <c r="B149" s="85"/>
      <c r="C149" s="85"/>
      <c r="D149" s="85"/>
      <c r="E149" s="85"/>
      <c r="F149" s="85"/>
      <c r="G149" s="85"/>
      <c r="H149" s="85"/>
    </row>
    <row r="150" spans="1:8">
      <c r="A150" s="123" t="s">
        <v>334</v>
      </c>
      <c r="B150" s="124"/>
      <c r="C150" s="124"/>
      <c r="D150" s="124"/>
      <c r="E150" s="124"/>
      <c r="F150" s="124"/>
      <c r="G150" s="124"/>
      <c r="H150" s="85"/>
    </row>
    <row r="151" spans="1:8">
      <c r="A151" s="124"/>
      <c r="B151" s="124"/>
      <c r="C151" s="124"/>
      <c r="D151" s="124"/>
      <c r="E151" s="124"/>
      <c r="F151" s="124"/>
      <c r="G151" s="124"/>
      <c r="H151" s="85"/>
    </row>
    <row r="152" spans="1:8">
      <c r="A152" s="125" t="s">
        <v>325</v>
      </c>
      <c r="B152" s="124"/>
      <c r="C152" s="125" t="s">
        <v>327</v>
      </c>
      <c r="D152" s="124"/>
      <c r="E152" s="124"/>
      <c r="F152" s="124"/>
      <c r="G152" s="124"/>
      <c r="H152" s="85"/>
    </row>
    <row r="153" spans="1:8">
      <c r="A153" s="124">
        <f>C114-0.01</f>
        <v>1.1499999999999999</v>
      </c>
      <c r="B153" s="124"/>
      <c r="C153" s="126">
        <f>SUM($B$109:$F$109)/5*A153</f>
        <v>24391.484051780746</v>
      </c>
      <c r="D153" s="124"/>
      <c r="E153" s="124"/>
      <c r="F153" s="124"/>
      <c r="G153" s="124"/>
      <c r="H153" s="85"/>
    </row>
    <row r="154" spans="1:8">
      <c r="A154" s="124"/>
      <c r="B154" s="124"/>
      <c r="C154" s="124"/>
      <c r="D154" s="124"/>
      <c r="E154" s="124"/>
      <c r="F154" s="124"/>
      <c r="G154" s="124"/>
      <c r="H154" s="85"/>
    </row>
    <row r="155" spans="1:8">
      <c r="A155" s="127" t="s">
        <v>328</v>
      </c>
      <c r="B155" s="128"/>
      <c r="C155" s="128"/>
      <c r="D155" s="128"/>
      <c r="E155" s="128"/>
      <c r="F155" s="128"/>
      <c r="G155" s="128"/>
      <c r="H155" s="85"/>
    </row>
    <row r="156" spans="1:8" ht="24.75">
      <c r="A156" s="129"/>
      <c r="B156" s="129" t="s">
        <v>329</v>
      </c>
      <c r="C156" s="129" t="s">
        <v>335</v>
      </c>
      <c r="D156" s="129" t="s">
        <v>4</v>
      </c>
      <c r="E156" s="129"/>
      <c r="F156" s="129"/>
      <c r="G156" s="130">
        <f>H29</f>
        <v>2024</v>
      </c>
      <c r="H156" s="85"/>
    </row>
    <row r="157" spans="1:8">
      <c r="A157" s="125" t="s">
        <v>92</v>
      </c>
      <c r="B157" s="126">
        <f t="shared" ref="B157:B172" si="13">$C$153-G93</f>
        <v>-416.95365286190645</v>
      </c>
      <c r="C157" s="131">
        <f t="shared" ref="C157:C172" si="14">IF(H30&lt;$H$46,H30,$H$46)</f>
        <v>0.1750277584596511</v>
      </c>
      <c r="D157" s="126">
        <f>I72</f>
        <v>450</v>
      </c>
      <c r="E157" s="132">
        <v>0.95</v>
      </c>
      <c r="F157" s="132">
        <f>ROUND(B157*C157*D157*E157,2)</f>
        <v>-31198.29</v>
      </c>
      <c r="G157" s="132">
        <f>IF(F157&gt;0,F157,0)</f>
        <v>0</v>
      </c>
      <c r="H157" s="85"/>
    </row>
    <row r="158" spans="1:8">
      <c r="A158" s="125" t="s">
        <v>93</v>
      </c>
      <c r="B158" s="126">
        <f t="shared" si="13"/>
        <v>7447.8711528012318</v>
      </c>
      <c r="C158" s="131">
        <f t="shared" si="14"/>
        <v>0.1750277584596511</v>
      </c>
      <c r="D158" s="126">
        <f t="shared" ref="D158:D172" si="15">I73</f>
        <v>939</v>
      </c>
      <c r="E158" s="132">
        <v>0.95</v>
      </c>
      <c r="F158" s="132">
        <f t="shared" ref="F158:F172" si="16">ROUND(B158*C158*D158*E158,2)</f>
        <v>1162862.28</v>
      </c>
      <c r="G158" s="132">
        <f t="shared" ref="G158:G172" si="17">IF(F158&gt;0,F158,0)</f>
        <v>1162862.28</v>
      </c>
      <c r="H158" s="85"/>
    </row>
    <row r="159" spans="1:8">
      <c r="A159" s="125" t="s">
        <v>94</v>
      </c>
      <c r="B159" s="126">
        <f t="shared" si="13"/>
        <v>6034.5812220593289</v>
      </c>
      <c r="C159" s="131">
        <f t="shared" si="14"/>
        <v>0.1750277584596511</v>
      </c>
      <c r="D159" s="126">
        <f t="shared" si="15"/>
        <v>2588</v>
      </c>
      <c r="E159" s="132">
        <v>0.95</v>
      </c>
      <c r="F159" s="132">
        <f t="shared" si="16"/>
        <v>2596820.59</v>
      </c>
      <c r="G159" s="132">
        <f t="shared" si="17"/>
        <v>2596820.59</v>
      </c>
      <c r="H159" s="85"/>
    </row>
    <row r="160" spans="1:8">
      <c r="A160" s="125" t="s">
        <v>95</v>
      </c>
      <c r="B160" s="126">
        <f t="shared" si="13"/>
        <v>5756.5515195724802</v>
      </c>
      <c r="C160" s="131">
        <f t="shared" si="14"/>
        <v>0.1750277584596511</v>
      </c>
      <c r="D160" s="126">
        <f t="shared" si="15"/>
        <v>504</v>
      </c>
      <c r="E160" s="132">
        <v>0.95</v>
      </c>
      <c r="F160" s="132">
        <f t="shared" si="16"/>
        <v>482417.96</v>
      </c>
      <c r="G160" s="132">
        <f t="shared" si="17"/>
        <v>482417.96</v>
      </c>
      <c r="H160" s="85"/>
    </row>
    <row r="161" spans="1:8">
      <c r="A161" s="125" t="s">
        <v>96</v>
      </c>
      <c r="B161" s="126">
        <f t="shared" si="13"/>
        <v>11977.805469772171</v>
      </c>
      <c r="C161" s="131">
        <f t="shared" si="14"/>
        <v>0.1750277584596511</v>
      </c>
      <c r="D161" s="126">
        <f t="shared" si="15"/>
        <v>507</v>
      </c>
      <c r="E161" s="132">
        <v>0.95</v>
      </c>
      <c r="F161" s="132">
        <f t="shared" si="16"/>
        <v>1009754.39</v>
      </c>
      <c r="G161" s="132">
        <f t="shared" si="17"/>
        <v>1009754.39</v>
      </c>
      <c r="H161" s="85"/>
    </row>
    <row r="162" spans="1:8">
      <c r="A162" s="125" t="s">
        <v>97</v>
      </c>
      <c r="B162" s="126">
        <f t="shared" si="13"/>
        <v>8250.2584206228821</v>
      </c>
      <c r="C162" s="131">
        <f t="shared" si="14"/>
        <v>0.1750277584596511</v>
      </c>
      <c r="D162" s="126">
        <f t="shared" si="15"/>
        <v>1628</v>
      </c>
      <c r="E162" s="132">
        <v>0.95</v>
      </c>
      <c r="F162" s="132">
        <f t="shared" si="16"/>
        <v>2233327.89</v>
      </c>
      <c r="G162" s="132">
        <f t="shared" si="17"/>
        <v>2233327.89</v>
      </c>
      <c r="H162" s="85"/>
    </row>
    <row r="163" spans="1:8">
      <c r="A163" s="125" t="s">
        <v>98</v>
      </c>
      <c r="B163" s="126">
        <f t="shared" si="13"/>
        <v>2932.200222749314</v>
      </c>
      <c r="C163" s="131">
        <f t="shared" si="14"/>
        <v>0.16500000000000001</v>
      </c>
      <c r="D163" s="126">
        <f t="shared" si="15"/>
        <v>5610</v>
      </c>
      <c r="E163" s="132">
        <v>0.95</v>
      </c>
      <c r="F163" s="132">
        <f t="shared" si="16"/>
        <v>2578481.58</v>
      </c>
      <c r="G163" s="132">
        <f t="shared" si="17"/>
        <v>2578481.58</v>
      </c>
      <c r="H163" s="85"/>
    </row>
    <row r="164" spans="1:8">
      <c r="A164" s="125" t="s">
        <v>99</v>
      </c>
      <c r="B164" s="126">
        <f t="shared" si="13"/>
        <v>5566.6819496861135</v>
      </c>
      <c r="C164" s="131">
        <f t="shared" si="14"/>
        <v>0.1750277584596511</v>
      </c>
      <c r="D164" s="126">
        <f t="shared" si="15"/>
        <v>306</v>
      </c>
      <c r="E164" s="132">
        <v>0.95</v>
      </c>
      <c r="F164" s="132">
        <f t="shared" si="16"/>
        <v>283235.95</v>
      </c>
      <c r="G164" s="132">
        <f t="shared" si="17"/>
        <v>283235.95</v>
      </c>
      <c r="H164" s="85"/>
    </row>
    <row r="165" spans="1:8">
      <c r="A165" s="125" t="s">
        <v>100</v>
      </c>
      <c r="B165" s="126">
        <f t="shared" si="13"/>
        <v>8452.9366336242911</v>
      </c>
      <c r="C165" s="131">
        <f t="shared" si="14"/>
        <v>0.1750277584596511</v>
      </c>
      <c r="D165" s="126">
        <f t="shared" si="15"/>
        <v>223</v>
      </c>
      <c r="E165" s="132">
        <v>0.95</v>
      </c>
      <c r="F165" s="132">
        <f t="shared" si="16"/>
        <v>313431.77</v>
      </c>
      <c r="G165" s="132">
        <f t="shared" si="17"/>
        <v>313431.77</v>
      </c>
      <c r="H165" s="85"/>
    </row>
    <row r="166" spans="1:8">
      <c r="A166" s="125" t="s">
        <v>101</v>
      </c>
      <c r="B166" s="126">
        <f t="shared" si="13"/>
        <v>5102.1666072205371</v>
      </c>
      <c r="C166" s="131">
        <f t="shared" si="14"/>
        <v>0.17499999999999999</v>
      </c>
      <c r="D166" s="126">
        <f t="shared" si="15"/>
        <v>2131</v>
      </c>
      <c r="E166" s="132">
        <v>0.95</v>
      </c>
      <c r="F166" s="132">
        <f t="shared" si="16"/>
        <v>1807589.21</v>
      </c>
      <c r="G166" s="132">
        <f t="shared" si="17"/>
        <v>1807589.21</v>
      </c>
      <c r="H166" s="85"/>
    </row>
    <row r="167" spans="1:8">
      <c r="A167" s="125" t="s">
        <v>102</v>
      </c>
      <c r="B167" s="126">
        <f t="shared" si="13"/>
        <v>4932.5074204574776</v>
      </c>
      <c r="C167" s="131">
        <f t="shared" si="14"/>
        <v>0.1750277584596511</v>
      </c>
      <c r="D167" s="126">
        <f t="shared" si="15"/>
        <v>360</v>
      </c>
      <c r="E167" s="132">
        <v>0.95</v>
      </c>
      <c r="F167" s="132">
        <f t="shared" si="16"/>
        <v>295257.40000000002</v>
      </c>
      <c r="G167" s="132">
        <f t="shared" si="17"/>
        <v>295257.40000000002</v>
      </c>
      <c r="H167" s="85"/>
    </row>
    <row r="168" spans="1:8">
      <c r="A168" s="125" t="s">
        <v>103</v>
      </c>
      <c r="B168" s="126">
        <f t="shared" si="13"/>
        <v>4309.3410482676991</v>
      </c>
      <c r="C168" s="131">
        <f t="shared" si="14"/>
        <v>0.1750277584596511</v>
      </c>
      <c r="D168" s="126">
        <f t="shared" si="15"/>
        <v>1793</v>
      </c>
      <c r="E168" s="132">
        <v>0.95</v>
      </c>
      <c r="F168" s="132">
        <f t="shared" si="16"/>
        <v>1284759.07</v>
      </c>
      <c r="G168" s="132">
        <f t="shared" si="17"/>
        <v>1284759.07</v>
      </c>
      <c r="H168" s="85"/>
    </row>
    <row r="169" spans="1:8">
      <c r="A169" s="125" t="s">
        <v>104</v>
      </c>
      <c r="B169" s="126">
        <f t="shared" si="13"/>
        <v>4169.0598638506854</v>
      </c>
      <c r="C169" s="131">
        <f t="shared" si="14"/>
        <v>0.1750277584596511</v>
      </c>
      <c r="D169" s="126">
        <f t="shared" si="15"/>
        <v>111</v>
      </c>
      <c r="E169" s="132">
        <v>0.95</v>
      </c>
      <c r="F169" s="132">
        <f t="shared" si="16"/>
        <v>76946.990000000005</v>
      </c>
      <c r="G169" s="132">
        <f t="shared" si="17"/>
        <v>76946.990000000005</v>
      </c>
      <c r="H169" s="85"/>
    </row>
    <row r="170" spans="1:8">
      <c r="A170" s="125" t="s">
        <v>105</v>
      </c>
      <c r="B170" s="126">
        <f t="shared" si="13"/>
        <v>6872.1127702945887</v>
      </c>
      <c r="C170" s="131">
        <f t="shared" si="14"/>
        <v>0.1750277584596511</v>
      </c>
      <c r="D170" s="126">
        <f t="shared" si="15"/>
        <v>1001</v>
      </c>
      <c r="E170" s="132">
        <v>0.95</v>
      </c>
      <c r="F170" s="132">
        <f t="shared" si="16"/>
        <v>1143812.6399999999</v>
      </c>
      <c r="G170" s="132">
        <f t="shared" si="17"/>
        <v>1143812.6399999999</v>
      </c>
      <c r="H170" s="85"/>
    </row>
    <row r="171" spans="1:8">
      <c r="A171" s="125" t="s">
        <v>106</v>
      </c>
      <c r="B171" s="126">
        <f t="shared" si="13"/>
        <v>8750.41278076868</v>
      </c>
      <c r="C171" s="131">
        <f t="shared" si="14"/>
        <v>0.1750277584596511</v>
      </c>
      <c r="D171" s="126">
        <f t="shared" si="15"/>
        <v>451</v>
      </c>
      <c r="E171" s="132">
        <v>0.95</v>
      </c>
      <c r="F171" s="132">
        <f t="shared" si="16"/>
        <v>656199.07999999996</v>
      </c>
      <c r="G171" s="132">
        <f t="shared" si="17"/>
        <v>656199.07999999996</v>
      </c>
      <c r="H171" s="85"/>
    </row>
    <row r="172" spans="1:8">
      <c r="A172" s="127" t="s">
        <v>107</v>
      </c>
      <c r="B172" s="133">
        <f t="shared" si="13"/>
        <v>-19.11770280914061</v>
      </c>
      <c r="C172" s="134">
        <f t="shared" si="14"/>
        <v>0.17</v>
      </c>
      <c r="D172" s="126">
        <f t="shared" si="15"/>
        <v>11757</v>
      </c>
      <c r="E172" s="135">
        <v>0.95</v>
      </c>
      <c r="F172" s="135">
        <f t="shared" si="16"/>
        <v>-36299.839999999997</v>
      </c>
      <c r="G172" s="135">
        <f t="shared" si="17"/>
        <v>0</v>
      </c>
      <c r="H172" s="85"/>
    </row>
    <row r="173" spans="1:8">
      <c r="A173" s="125" t="s">
        <v>108</v>
      </c>
      <c r="B173" s="124"/>
      <c r="C173" s="124"/>
      <c r="D173" s="124"/>
      <c r="E173" s="124"/>
      <c r="F173" s="136"/>
      <c r="G173" s="136">
        <f>SUM(G157:G172)</f>
        <v>15924896.799999999</v>
      </c>
      <c r="H173" s="85"/>
    </row>
    <row r="174" spans="1:8">
      <c r="A174" s="124"/>
      <c r="B174" s="124"/>
      <c r="C174" s="124"/>
      <c r="D174" s="124"/>
      <c r="E174" s="124"/>
      <c r="F174" s="124"/>
      <c r="G174" s="124"/>
      <c r="H174" s="85"/>
    </row>
    <row r="175" spans="1:8">
      <c r="A175" s="124"/>
      <c r="B175" s="124"/>
      <c r="C175" s="124"/>
      <c r="D175" s="124"/>
      <c r="E175" s="124"/>
      <c r="F175" s="124"/>
      <c r="G175" s="124"/>
      <c r="H175" s="85"/>
    </row>
    <row r="176" spans="1:8">
      <c r="A176" s="125" t="s">
        <v>325</v>
      </c>
      <c r="B176" s="124"/>
      <c r="C176" s="125" t="s">
        <v>327</v>
      </c>
      <c r="D176" s="124"/>
      <c r="E176" s="124"/>
      <c r="F176" s="124"/>
      <c r="G176" s="124"/>
      <c r="H176" s="85"/>
    </row>
    <row r="177" spans="1:8">
      <c r="A177" s="124">
        <f>C114+0.01</f>
        <v>1.17</v>
      </c>
      <c r="B177" s="124"/>
      <c r="C177" s="126">
        <f>SUM($B$109:$F$109)/5*A177</f>
        <v>24815.683774420413</v>
      </c>
      <c r="D177" s="124"/>
      <c r="E177" s="124"/>
      <c r="F177" s="124"/>
      <c r="G177" s="124"/>
      <c r="H177" s="85"/>
    </row>
    <row r="178" spans="1:8">
      <c r="A178" s="124"/>
      <c r="B178" s="124"/>
      <c r="C178" s="124"/>
      <c r="D178" s="124"/>
      <c r="E178" s="124"/>
      <c r="F178" s="124"/>
      <c r="G178" s="124"/>
      <c r="H178" s="85"/>
    </row>
    <row r="179" spans="1:8">
      <c r="A179" s="127" t="s">
        <v>328</v>
      </c>
      <c r="B179" s="128"/>
      <c r="C179" s="128"/>
      <c r="D179" s="128"/>
      <c r="E179" s="128"/>
      <c r="F179" s="128"/>
      <c r="G179" s="128"/>
      <c r="H179" s="85"/>
    </row>
    <row r="180" spans="1:8" ht="24.75">
      <c r="A180" s="137"/>
      <c r="B180" s="137" t="s">
        <v>329</v>
      </c>
      <c r="C180" s="137" t="s">
        <v>335</v>
      </c>
      <c r="D180" s="137" t="s">
        <v>4</v>
      </c>
      <c r="E180" s="127"/>
      <c r="F180" s="127"/>
      <c r="G180" s="127">
        <f>H29</f>
        <v>2024</v>
      </c>
      <c r="H180" s="85"/>
    </row>
    <row r="181" spans="1:8">
      <c r="A181" s="125" t="s">
        <v>92</v>
      </c>
      <c r="B181" s="126">
        <f t="shared" ref="B181:B196" si="18">$C$177-G93</f>
        <v>7.2460697777605674</v>
      </c>
      <c r="C181" s="131">
        <f t="shared" ref="C181:C196" si="19">IF(H30&lt;$H$46,H30,$H$46)</f>
        <v>0.1750277584596511</v>
      </c>
      <c r="D181" s="126">
        <f>I72</f>
        <v>450</v>
      </c>
      <c r="E181" s="132">
        <v>0.95</v>
      </c>
      <c r="F181" s="132">
        <f>ROUND(B181*C181*D181*E181,2)</f>
        <v>542.17999999999995</v>
      </c>
      <c r="G181" s="132">
        <f>IF(F181&gt;0,F181,0)</f>
        <v>542.17999999999995</v>
      </c>
      <c r="H181" s="85"/>
    </row>
    <row r="182" spans="1:8">
      <c r="A182" s="125" t="s">
        <v>93</v>
      </c>
      <c r="B182" s="126">
        <f t="shared" si="18"/>
        <v>7872.0708754408988</v>
      </c>
      <c r="C182" s="131">
        <f t="shared" si="19"/>
        <v>0.1750277584596511</v>
      </c>
      <c r="D182" s="126">
        <f t="shared" ref="D182:D196" si="20">I73</f>
        <v>939</v>
      </c>
      <c r="E182" s="132">
        <v>0.95</v>
      </c>
      <c r="F182" s="132">
        <f t="shared" ref="F182:F196" si="21">ROUND(B182*C182*D182*E182,2)</f>
        <v>1229094.07</v>
      </c>
      <c r="G182" s="132">
        <f t="shared" ref="G182:G196" si="22">IF(F182&gt;0,F182,0)</f>
        <v>1229094.07</v>
      </c>
      <c r="H182" s="85"/>
    </row>
    <row r="183" spans="1:8">
      <c r="A183" s="125" t="s">
        <v>94</v>
      </c>
      <c r="B183" s="126">
        <f t="shared" si="18"/>
        <v>6458.7809446989959</v>
      </c>
      <c r="C183" s="131">
        <f t="shared" si="19"/>
        <v>0.1750277584596511</v>
      </c>
      <c r="D183" s="126">
        <f t="shared" si="20"/>
        <v>2588</v>
      </c>
      <c r="E183" s="132">
        <v>0.95</v>
      </c>
      <c r="F183" s="132">
        <f t="shared" si="21"/>
        <v>2779363.59</v>
      </c>
      <c r="G183" s="132">
        <f t="shared" si="22"/>
        <v>2779363.59</v>
      </c>
      <c r="H183" s="85"/>
    </row>
    <row r="184" spans="1:8">
      <c r="A184" s="125" t="s">
        <v>95</v>
      </c>
      <c r="B184" s="126">
        <f t="shared" si="18"/>
        <v>6180.7512422121472</v>
      </c>
      <c r="C184" s="131">
        <f t="shared" si="19"/>
        <v>0.1750277584596511</v>
      </c>
      <c r="D184" s="126">
        <f t="shared" si="20"/>
        <v>504</v>
      </c>
      <c r="E184" s="132">
        <v>0.95</v>
      </c>
      <c r="F184" s="132">
        <f t="shared" si="21"/>
        <v>517967.29</v>
      </c>
      <c r="G184" s="132">
        <f t="shared" si="22"/>
        <v>517967.29</v>
      </c>
      <c r="H184" s="85"/>
    </row>
    <row r="185" spans="1:8">
      <c r="A185" s="125" t="s">
        <v>96</v>
      </c>
      <c r="B185" s="126">
        <f t="shared" si="18"/>
        <v>12402.005192411838</v>
      </c>
      <c r="C185" s="131">
        <f t="shared" si="19"/>
        <v>0.1750277584596511</v>
      </c>
      <c r="D185" s="126">
        <f t="shared" si="20"/>
        <v>507</v>
      </c>
      <c r="E185" s="132">
        <v>0.95</v>
      </c>
      <c r="F185" s="132">
        <f t="shared" si="21"/>
        <v>1045515.33</v>
      </c>
      <c r="G185" s="132">
        <f t="shared" si="22"/>
        <v>1045515.33</v>
      </c>
      <c r="H185" s="85"/>
    </row>
    <row r="186" spans="1:8">
      <c r="A186" s="125" t="s">
        <v>97</v>
      </c>
      <c r="B186" s="126">
        <f t="shared" si="18"/>
        <v>8674.4581432625491</v>
      </c>
      <c r="C186" s="131">
        <f t="shared" si="19"/>
        <v>0.1750277584596511</v>
      </c>
      <c r="D186" s="126">
        <f t="shared" si="20"/>
        <v>1628</v>
      </c>
      <c r="E186" s="132">
        <v>0.95</v>
      </c>
      <c r="F186" s="132">
        <f t="shared" si="21"/>
        <v>2348157.87</v>
      </c>
      <c r="G186" s="132">
        <f t="shared" si="22"/>
        <v>2348157.87</v>
      </c>
      <c r="H186" s="85"/>
    </row>
    <row r="187" spans="1:8">
      <c r="A187" s="125" t="s">
        <v>98</v>
      </c>
      <c r="B187" s="126">
        <f t="shared" si="18"/>
        <v>3356.399945388981</v>
      </c>
      <c r="C187" s="131">
        <f t="shared" si="19"/>
        <v>0.16500000000000001</v>
      </c>
      <c r="D187" s="126">
        <f t="shared" si="20"/>
        <v>5610</v>
      </c>
      <c r="E187" s="132">
        <v>0.95</v>
      </c>
      <c r="F187" s="132">
        <f t="shared" si="21"/>
        <v>2951509.03</v>
      </c>
      <c r="G187" s="132">
        <f t="shared" si="22"/>
        <v>2951509.03</v>
      </c>
      <c r="H187" s="85"/>
    </row>
    <row r="188" spans="1:8">
      <c r="A188" s="125" t="s">
        <v>99</v>
      </c>
      <c r="B188" s="126">
        <f t="shared" si="18"/>
        <v>5990.8816723257805</v>
      </c>
      <c r="C188" s="131">
        <f t="shared" si="19"/>
        <v>0.1750277584596511</v>
      </c>
      <c r="D188" s="126">
        <f t="shared" si="20"/>
        <v>306</v>
      </c>
      <c r="E188" s="132">
        <v>0.95</v>
      </c>
      <c r="F188" s="132">
        <f t="shared" si="21"/>
        <v>304819.46999999997</v>
      </c>
      <c r="G188" s="132">
        <f t="shared" si="22"/>
        <v>304819.46999999997</v>
      </c>
      <c r="H188" s="85"/>
    </row>
    <row r="189" spans="1:8">
      <c r="A189" s="125" t="s">
        <v>100</v>
      </c>
      <c r="B189" s="126">
        <f t="shared" si="18"/>
        <v>8877.1363562639581</v>
      </c>
      <c r="C189" s="131">
        <f t="shared" si="19"/>
        <v>0.1750277584596511</v>
      </c>
      <c r="D189" s="126">
        <f t="shared" si="20"/>
        <v>223</v>
      </c>
      <c r="E189" s="132">
        <v>0.95</v>
      </c>
      <c r="F189" s="132">
        <f t="shared" si="21"/>
        <v>329160.94</v>
      </c>
      <c r="G189" s="132">
        <f t="shared" si="22"/>
        <v>329160.94</v>
      </c>
      <c r="H189" s="85"/>
    </row>
    <row r="190" spans="1:8">
      <c r="A190" s="125" t="s">
        <v>101</v>
      </c>
      <c r="B190" s="126">
        <f t="shared" si="18"/>
        <v>5526.3663298602041</v>
      </c>
      <c r="C190" s="131">
        <f t="shared" si="19"/>
        <v>0.17499999999999999</v>
      </c>
      <c r="D190" s="126">
        <f t="shared" si="20"/>
        <v>2131</v>
      </c>
      <c r="E190" s="132">
        <v>0.95</v>
      </c>
      <c r="F190" s="132">
        <f t="shared" si="21"/>
        <v>1957874.16</v>
      </c>
      <c r="G190" s="132">
        <f t="shared" si="22"/>
        <v>1957874.16</v>
      </c>
      <c r="H190" s="85"/>
    </row>
    <row r="191" spans="1:8">
      <c r="A191" s="125" t="s">
        <v>102</v>
      </c>
      <c r="B191" s="126">
        <f t="shared" si="18"/>
        <v>5356.7071430971446</v>
      </c>
      <c r="C191" s="131">
        <f t="shared" si="19"/>
        <v>0.1750277584596511</v>
      </c>
      <c r="D191" s="126">
        <f t="shared" si="20"/>
        <v>360</v>
      </c>
      <c r="E191" s="132">
        <v>0.95</v>
      </c>
      <c r="F191" s="132">
        <f t="shared" si="21"/>
        <v>320649.78000000003</v>
      </c>
      <c r="G191" s="132">
        <f t="shared" si="22"/>
        <v>320649.78000000003</v>
      </c>
      <c r="H191" s="85"/>
    </row>
    <row r="192" spans="1:8">
      <c r="A192" s="125" t="s">
        <v>103</v>
      </c>
      <c r="B192" s="126">
        <f t="shared" si="18"/>
        <v>4733.5407709073661</v>
      </c>
      <c r="C192" s="131">
        <f t="shared" si="19"/>
        <v>0.1750277584596511</v>
      </c>
      <c r="D192" s="126">
        <f t="shared" si="20"/>
        <v>1793</v>
      </c>
      <c r="E192" s="132">
        <v>0.95</v>
      </c>
      <c r="F192" s="132">
        <f t="shared" si="21"/>
        <v>1411227.23</v>
      </c>
      <c r="G192" s="132">
        <f t="shared" si="22"/>
        <v>1411227.23</v>
      </c>
      <c r="H192" s="85"/>
    </row>
    <row r="193" spans="1:8">
      <c r="A193" s="125" t="s">
        <v>104</v>
      </c>
      <c r="B193" s="126">
        <f t="shared" si="18"/>
        <v>4593.2595864903524</v>
      </c>
      <c r="C193" s="131">
        <f t="shared" si="19"/>
        <v>0.1750277584596511</v>
      </c>
      <c r="D193" s="126">
        <f t="shared" si="20"/>
        <v>111</v>
      </c>
      <c r="E193" s="132">
        <v>0.95</v>
      </c>
      <c r="F193" s="132">
        <f t="shared" si="21"/>
        <v>84776.31</v>
      </c>
      <c r="G193" s="132">
        <f t="shared" si="22"/>
        <v>84776.31</v>
      </c>
      <c r="H193" s="85"/>
    </row>
    <row r="194" spans="1:8">
      <c r="A194" s="125" t="s">
        <v>105</v>
      </c>
      <c r="B194" s="126">
        <f t="shared" si="18"/>
        <v>7296.3124929342557</v>
      </c>
      <c r="C194" s="131">
        <f t="shared" si="19"/>
        <v>0.1750277584596511</v>
      </c>
      <c r="D194" s="126">
        <f t="shared" si="20"/>
        <v>1001</v>
      </c>
      <c r="E194" s="132">
        <v>0.95</v>
      </c>
      <c r="F194" s="132">
        <f t="shared" si="21"/>
        <v>1214417.56</v>
      </c>
      <c r="G194" s="132">
        <f t="shared" si="22"/>
        <v>1214417.56</v>
      </c>
      <c r="H194" s="85"/>
    </row>
    <row r="195" spans="1:8">
      <c r="A195" s="125" t="s">
        <v>106</v>
      </c>
      <c r="B195" s="126">
        <f t="shared" si="18"/>
        <v>9174.612503408347</v>
      </c>
      <c r="C195" s="131">
        <f t="shared" si="19"/>
        <v>0.1750277584596511</v>
      </c>
      <c r="D195" s="126">
        <f t="shared" si="20"/>
        <v>451</v>
      </c>
      <c r="E195" s="132">
        <v>0.95</v>
      </c>
      <c r="F195" s="132">
        <f t="shared" si="21"/>
        <v>688010.09</v>
      </c>
      <c r="G195" s="132">
        <f t="shared" si="22"/>
        <v>688010.09</v>
      </c>
      <c r="H195" s="85"/>
    </row>
    <row r="196" spans="1:8">
      <c r="A196" s="127" t="s">
        <v>107</v>
      </c>
      <c r="B196" s="133">
        <f t="shared" si="18"/>
        <v>405.08201983052641</v>
      </c>
      <c r="C196" s="134">
        <f t="shared" si="19"/>
        <v>0.17</v>
      </c>
      <c r="D196" s="126">
        <f t="shared" si="20"/>
        <v>11757</v>
      </c>
      <c r="E196" s="135">
        <v>0.95</v>
      </c>
      <c r="F196" s="135">
        <f t="shared" si="21"/>
        <v>769151.71</v>
      </c>
      <c r="G196" s="135">
        <f t="shared" si="22"/>
        <v>769151.71</v>
      </c>
      <c r="H196" s="85"/>
    </row>
    <row r="197" spans="1:8">
      <c r="A197" s="125" t="s">
        <v>108</v>
      </c>
      <c r="B197" s="124"/>
      <c r="C197" s="124"/>
      <c r="D197" s="124"/>
      <c r="E197" s="124"/>
      <c r="F197" s="136"/>
      <c r="G197" s="136">
        <f>SUM(G181:G196)</f>
        <v>17952236.610000003</v>
      </c>
      <c r="H197" s="85"/>
    </row>
    <row r="198" spans="1:8">
      <c r="A198" s="85"/>
      <c r="B198" s="85"/>
      <c r="C198" s="85"/>
      <c r="D198" s="85"/>
      <c r="E198" s="85"/>
      <c r="F198" s="85"/>
      <c r="G198" s="85"/>
      <c r="H198" s="85"/>
    </row>
    <row r="200" spans="1:8" s="560" customFormat="1">
      <c r="A200" s="812" t="s">
        <v>336</v>
      </c>
      <c r="B200" s="812"/>
      <c r="C200" s="812"/>
      <c r="D200" s="812"/>
      <c r="E200" s="812"/>
      <c r="F200" s="812"/>
      <c r="G200" s="812"/>
      <c r="H200" s="812"/>
    </row>
    <row r="227" spans="1:15" ht="15.75">
      <c r="A227" s="513" t="s">
        <v>337</v>
      </c>
      <c r="B227" s="513"/>
      <c r="C227" s="514"/>
      <c r="D227" s="513" t="s">
        <v>338</v>
      </c>
      <c r="E227" s="515"/>
      <c r="F227" s="513"/>
      <c r="G227" s="513"/>
      <c r="H227" s="513"/>
      <c r="I227" s="513"/>
      <c r="J227" s="516"/>
      <c r="K227" s="517" t="s">
        <v>339</v>
      </c>
      <c r="L227" s="522"/>
      <c r="M227" s="522"/>
      <c r="N227"/>
      <c r="O227"/>
    </row>
    <row r="228" spans="1:15" ht="15.75">
      <c r="A228" s="516"/>
      <c r="B228" s="516"/>
      <c r="C228" s="518"/>
      <c r="D228" s="516"/>
      <c r="E228" s="516" t="s">
        <v>340</v>
      </c>
      <c r="F228" s="516"/>
      <c r="G228" s="516"/>
      <c r="H228" s="516"/>
      <c r="I228" s="516"/>
      <c r="J228" s="519"/>
      <c r="K228" s="520">
        <v>44872</v>
      </c>
      <c r="L228" s="522"/>
      <c r="M228" s="522"/>
      <c r="N228"/>
      <c r="O228"/>
    </row>
    <row r="229" spans="1:15" ht="15.75">
      <c r="A229" s="38" t="s">
        <v>341</v>
      </c>
      <c r="B229" s="516"/>
      <c r="C229" s="518"/>
      <c r="D229" s="516"/>
      <c r="E229" s="516"/>
      <c r="F229" s="516"/>
      <c r="G229" s="516"/>
      <c r="H229" s="516"/>
      <c r="I229" s="516"/>
      <c r="J229" s="521" t="s">
        <v>342</v>
      </c>
      <c r="K229" s="521">
        <v>2021</v>
      </c>
      <c r="L229" s="522"/>
      <c r="M229" s="522"/>
      <c r="N229"/>
      <c r="O229"/>
    </row>
    <row r="230" spans="1:15" ht="15.75">
      <c r="A230" s="516"/>
      <c r="B230" s="516"/>
      <c r="C230" s="518"/>
      <c r="D230" s="516"/>
      <c r="E230" s="516"/>
      <c r="F230" s="516"/>
      <c r="G230" s="516"/>
      <c r="H230" s="516"/>
      <c r="I230" s="516"/>
      <c r="J230" s="522"/>
      <c r="K230" s="522"/>
      <c r="L230" s="522"/>
      <c r="M230" s="522"/>
      <c r="N230"/>
      <c r="O230"/>
    </row>
    <row r="231" spans="1:15" ht="15.75">
      <c r="A231" s="522"/>
      <c r="B231" s="522"/>
      <c r="C231" s="523"/>
      <c r="D231" s="522"/>
      <c r="E231" s="522"/>
      <c r="F231" s="522"/>
      <c r="G231" s="522"/>
      <c r="H231" s="522"/>
      <c r="I231" s="522"/>
      <c r="J231" s="522"/>
      <c r="K231" s="522"/>
      <c r="L231" s="522"/>
      <c r="M231" s="522"/>
      <c r="N231"/>
      <c r="O231"/>
    </row>
    <row r="232" spans="1:15" ht="15.75">
      <c r="A232" s="524"/>
      <c r="B232" s="525"/>
      <c r="C232" s="526"/>
      <c r="D232" s="525"/>
      <c r="E232" s="525"/>
      <c r="F232" s="525"/>
      <c r="G232" s="525"/>
      <c r="H232" s="525"/>
      <c r="I232" s="525"/>
      <c r="J232" s="525"/>
      <c r="K232" s="527"/>
      <c r="L232" s="522"/>
      <c r="M232" s="522"/>
      <c r="N232"/>
      <c r="O232"/>
    </row>
    <row r="233" spans="1:15" ht="15.75">
      <c r="A233" s="528"/>
      <c r="B233" s="38"/>
      <c r="C233" s="529"/>
      <c r="D233" s="39"/>
      <c r="E233" s="38"/>
      <c r="F233" s="38"/>
      <c r="G233" s="522"/>
      <c r="H233" s="522"/>
      <c r="I233" s="522"/>
      <c r="J233" s="522"/>
      <c r="K233" s="530"/>
      <c r="L233" s="522"/>
      <c r="M233" s="522"/>
      <c r="N233"/>
      <c r="O233"/>
    </row>
    <row r="234" spans="1:15" ht="15.75">
      <c r="A234" s="528"/>
      <c r="B234" s="38"/>
      <c r="C234" s="529"/>
      <c r="D234" s="39"/>
      <c r="E234" s="38"/>
      <c r="F234" s="38" t="s">
        <v>343</v>
      </c>
      <c r="G234" s="522"/>
      <c r="H234" s="522"/>
      <c r="I234" s="522"/>
      <c r="J234" s="522"/>
      <c r="K234" s="530"/>
      <c r="L234" s="522"/>
      <c r="M234" s="522"/>
      <c r="N234"/>
      <c r="O234"/>
    </row>
    <row r="235" spans="1:15" ht="15.75">
      <c r="A235" s="531"/>
      <c r="B235" s="38"/>
      <c r="C235" s="529"/>
      <c r="D235" s="39"/>
      <c r="E235" s="38"/>
      <c r="F235" s="38" t="s">
        <v>344</v>
      </c>
      <c r="G235" s="522"/>
      <c r="H235" s="522"/>
      <c r="I235" s="522"/>
      <c r="J235" s="522"/>
      <c r="K235" s="530"/>
      <c r="L235" s="522"/>
      <c r="M235" s="522"/>
      <c r="N235"/>
      <c r="O235"/>
    </row>
    <row r="236" spans="1:15" ht="15.75">
      <c r="A236" s="528"/>
      <c r="B236" s="38"/>
      <c r="C236" s="529"/>
      <c r="D236" s="39"/>
      <c r="E236" s="38"/>
      <c r="F236" s="38"/>
      <c r="G236" s="522"/>
      <c r="H236" s="522"/>
      <c r="I236" s="522"/>
      <c r="J236" s="522"/>
      <c r="K236" s="530"/>
      <c r="L236" s="522"/>
      <c r="M236" s="522"/>
      <c r="N236"/>
      <c r="O236"/>
    </row>
    <row r="237" spans="1:15" ht="15.75">
      <c r="A237" s="532"/>
      <c r="B237" s="533"/>
      <c r="C237" s="534"/>
      <c r="D237" s="533"/>
      <c r="E237" s="533"/>
      <c r="F237" s="533"/>
      <c r="G237" s="533"/>
      <c r="H237" s="533"/>
      <c r="I237" s="533"/>
      <c r="J237" s="533"/>
      <c r="K237" s="535"/>
      <c r="L237" s="522"/>
      <c r="M237" s="522"/>
      <c r="N237"/>
      <c r="O237"/>
    </row>
    <row r="238" spans="1:15" ht="27">
      <c r="A238" s="536" t="s">
        <v>345</v>
      </c>
      <c r="B238" s="537" t="s">
        <v>346</v>
      </c>
      <c r="C238" s="538" t="s">
        <v>347</v>
      </c>
      <c r="D238" s="539" t="s">
        <v>348</v>
      </c>
      <c r="E238" s="539" t="s">
        <v>349</v>
      </c>
      <c r="F238" s="540" t="s">
        <v>350</v>
      </c>
      <c r="G238" s="539" t="s">
        <v>351</v>
      </c>
      <c r="H238" s="539" t="s">
        <v>352</v>
      </c>
      <c r="I238" s="539" t="s">
        <v>353</v>
      </c>
      <c r="J238" s="539" t="s">
        <v>354</v>
      </c>
      <c r="K238" s="539" t="s">
        <v>355</v>
      </c>
      <c r="L238" s="541" t="s">
        <v>356</v>
      </c>
      <c r="M238" s="542" t="s">
        <v>261</v>
      </c>
      <c r="N238" s="543" t="s">
        <v>357</v>
      </c>
      <c r="O238" s="543" t="s">
        <v>358</v>
      </c>
    </row>
    <row r="239" spans="1:15">
      <c r="A239" s="544">
        <v>21</v>
      </c>
      <c r="B239" s="545">
        <v>35</v>
      </c>
      <c r="C239" s="546" t="s">
        <v>359</v>
      </c>
      <c r="D239" s="547">
        <v>1851233.38</v>
      </c>
      <c r="E239" s="548">
        <v>0.20666875048796784</v>
      </c>
      <c r="F239" s="547">
        <v>1810396.1402558859</v>
      </c>
      <c r="G239" s="547">
        <v>1669239.8899841062</v>
      </c>
      <c r="H239" s="547">
        <v>141156.25027177972</v>
      </c>
      <c r="I239" s="547">
        <v>-128259.97282038545</v>
      </c>
      <c r="J239" s="547">
        <v>12896.277451394271</v>
      </c>
      <c r="K239" s="547">
        <v>95297.199623565408</v>
      </c>
      <c r="L239" s="547">
        <v>576774.48307035281</v>
      </c>
      <c r="M239" s="549">
        <v>0.56856779413118552</v>
      </c>
      <c r="N239" s="547">
        <v>37269</v>
      </c>
      <c r="O239" s="549">
        <v>6.1045187445907034E-2</v>
      </c>
    </row>
    <row r="240" spans="1:15">
      <c r="A240" s="544">
        <v>21</v>
      </c>
      <c r="B240" s="545">
        <v>43</v>
      </c>
      <c r="C240" s="546" t="s">
        <v>360</v>
      </c>
      <c r="D240" s="547">
        <v>3015795.72</v>
      </c>
      <c r="E240" s="548">
        <v>0.10118178940396017</v>
      </c>
      <c r="F240" s="547">
        <v>2949268.8443680834</v>
      </c>
      <c r="G240" s="547">
        <v>2866155.3394173272</v>
      </c>
      <c r="H240" s="547">
        <v>83113.504950756207</v>
      </c>
      <c r="I240" s="547">
        <v>-208944.95597256074</v>
      </c>
      <c r="J240" s="547">
        <v>-125831.45102180453</v>
      </c>
      <c r="K240" s="547">
        <v>155246.16715410253</v>
      </c>
      <c r="L240" s="547">
        <v>282948.23909727426</v>
      </c>
      <c r="M240" s="549">
        <v>0.10817028314782817</v>
      </c>
      <c r="N240" s="547">
        <v>299691.17</v>
      </c>
      <c r="O240" s="549">
        <v>0.31445749793340738</v>
      </c>
    </row>
    <row r="241" spans="1:15">
      <c r="A241" s="544">
        <v>21</v>
      </c>
      <c r="B241" s="545">
        <v>60</v>
      </c>
      <c r="C241" s="546" t="s">
        <v>361</v>
      </c>
      <c r="D241" s="547">
        <v>8848344.6600000001</v>
      </c>
      <c r="E241" s="548">
        <v>7.4089168715552489E-2</v>
      </c>
      <c r="F241" s="547">
        <v>8653154.8065094743</v>
      </c>
      <c r="G241" s="547">
        <v>8838553.7759676799</v>
      </c>
      <c r="H241" s="547">
        <v>-185398.96945820563</v>
      </c>
      <c r="I241" s="547">
        <v>-613044.50203734054</v>
      </c>
      <c r="J241" s="547">
        <v>-798443.47149554617</v>
      </c>
      <c r="K241" s="547">
        <v>455492.25533202576</v>
      </c>
      <c r="L241" s="547">
        <v>631267.57773169945</v>
      </c>
      <c r="M241" s="549">
        <v>0.46511533173295749</v>
      </c>
      <c r="N241" s="547">
        <v>193368.7</v>
      </c>
      <c r="O241" s="549">
        <v>2.9639460296394748E-2</v>
      </c>
    </row>
    <row r="242" spans="1:15">
      <c r="A242" s="544">
        <v>21</v>
      </c>
      <c r="B242" s="545">
        <v>62</v>
      </c>
      <c r="C242" s="546" t="s">
        <v>362</v>
      </c>
      <c r="D242" s="547">
        <v>1452235.45</v>
      </c>
      <c r="E242" s="548">
        <v>1.0200477529085372E-3</v>
      </c>
      <c r="F242" s="547">
        <v>1420199.8958244636</v>
      </c>
      <c r="G242" s="547">
        <v>1457468.1234540381</v>
      </c>
      <c r="H242" s="547">
        <v>-37268.227629574481</v>
      </c>
      <c r="I242" s="547">
        <v>-100615.9900518865</v>
      </c>
      <c r="J242" s="547">
        <v>-137884.21768146098</v>
      </c>
      <c r="K242" s="547">
        <v>74757.711844558653</v>
      </c>
      <c r="L242" s="547">
        <v>322200.97461887798</v>
      </c>
      <c r="M242" s="549">
        <v>6.9415495058944288E-4</v>
      </c>
      <c r="N242" s="547">
        <v>161011.53</v>
      </c>
      <c r="O242" s="549">
        <v>1.2925076532759316E-3</v>
      </c>
    </row>
    <row r="243" spans="1:15">
      <c r="A243" s="544">
        <v>21</v>
      </c>
      <c r="B243" s="545">
        <v>65</v>
      </c>
      <c r="C243" s="546" t="s">
        <v>363</v>
      </c>
      <c r="D243" s="547">
        <v>1200259.18</v>
      </c>
      <c r="E243" s="548">
        <v>6.7223809103151622E-2</v>
      </c>
      <c r="F243" s="547">
        <v>1173782.090499413</v>
      </c>
      <c r="G243" s="547">
        <v>1174975.1220358168</v>
      </c>
      <c r="H243" s="547">
        <v>-1193.0315364038106</v>
      </c>
      <c r="I243" s="547">
        <v>-83158.186032826459</v>
      </c>
      <c r="J243" s="547">
        <v>-84351.21756923027</v>
      </c>
      <c r="K243" s="547">
        <v>61786.558038661184</v>
      </c>
      <c r="L243" s="547">
        <v>9890.5206762323996</v>
      </c>
      <c r="M243" s="549">
        <v>3.2034049174769708E-2</v>
      </c>
      <c r="N243" s="547">
        <v>126499.83</v>
      </c>
      <c r="O243" s="549">
        <v>2.4259103408528437E-2</v>
      </c>
    </row>
    <row r="244" spans="1:15">
      <c r="A244" s="544">
        <v>21</v>
      </c>
      <c r="B244" s="545">
        <v>76</v>
      </c>
      <c r="C244" s="546" t="s">
        <v>364</v>
      </c>
      <c r="D244" s="547">
        <v>4648811.93</v>
      </c>
      <c r="E244" s="548">
        <v>8.8815683923407773E-2</v>
      </c>
      <c r="F244" s="547">
        <v>4546261.5712166531</v>
      </c>
      <c r="G244" s="547">
        <v>4558345.1566005135</v>
      </c>
      <c r="H244" s="547">
        <v>-12083.585383860394</v>
      </c>
      <c r="I244" s="547">
        <v>-322086.07419821026</v>
      </c>
      <c r="J244" s="547">
        <v>-334169.65958207066</v>
      </c>
      <c r="K244" s="547">
        <v>239310.05312016487</v>
      </c>
      <c r="L244" s="547">
        <v>159288.03184221406</v>
      </c>
      <c r="M244" s="549">
        <v>0.55026073589159985</v>
      </c>
      <c r="N244" s="547">
        <v>97500.64</v>
      </c>
      <c r="O244" s="549">
        <v>3.5492960977465016E-2</v>
      </c>
    </row>
    <row r="245" spans="1:15">
      <c r="A245" s="544">
        <v>21</v>
      </c>
      <c r="B245" s="545">
        <v>170</v>
      </c>
      <c r="C245" s="546" t="s">
        <v>365</v>
      </c>
      <c r="D245" s="547">
        <v>18091931.199999999</v>
      </c>
      <c r="E245" s="548">
        <v>5.4926212689129672E-2</v>
      </c>
      <c r="F245" s="547">
        <v>17692832.663948096</v>
      </c>
      <c r="G245" s="547">
        <v>17893518.963082481</v>
      </c>
      <c r="H245" s="547">
        <v>-200686.29913438484</v>
      </c>
      <c r="I245" s="547">
        <v>-1253472.75446183</v>
      </c>
      <c r="J245" s="547">
        <v>-1454159.0535962149</v>
      </c>
      <c r="K245" s="547">
        <v>931330.64570292667</v>
      </c>
      <c r="L245" s="547">
        <v>1717917.7955079447</v>
      </c>
      <c r="M245" s="549">
        <v>0.29502977197767577</v>
      </c>
      <c r="N245" s="547">
        <v>337144.37</v>
      </c>
      <c r="O245" s="549">
        <v>2.29969550502227E-2</v>
      </c>
    </row>
    <row r="246" spans="1:15">
      <c r="A246" s="544">
        <v>21</v>
      </c>
      <c r="B246" s="545">
        <v>295</v>
      </c>
      <c r="C246" s="546" t="s">
        <v>366</v>
      </c>
      <c r="D246" s="547">
        <v>1100029.4099999999</v>
      </c>
      <c r="E246" s="548">
        <v>1.4274583380795569E-2</v>
      </c>
      <c r="F246" s="547">
        <v>1075763.3367825074</v>
      </c>
      <c r="G246" s="547">
        <v>1083858.7399345327</v>
      </c>
      <c r="H246" s="547">
        <v>-8095.4031520253047</v>
      </c>
      <c r="I246" s="547">
        <v>-76213.914330036889</v>
      </c>
      <c r="J246" s="547">
        <v>-84309.317482062193</v>
      </c>
      <c r="K246" s="547">
        <v>56626.962007655071</v>
      </c>
      <c r="L246" s="547">
        <v>8508.8880822157316</v>
      </c>
      <c r="M246" s="549">
        <v>0.48330197914717066</v>
      </c>
      <c r="N246" s="547">
        <v>105143.98</v>
      </c>
      <c r="O246" s="549">
        <v>2.346243098655143E-2</v>
      </c>
    </row>
    <row r="247" spans="1:15">
      <c r="A247" s="544">
        <v>21</v>
      </c>
      <c r="B247" s="545">
        <v>318</v>
      </c>
      <c r="C247" s="546" t="s">
        <v>367</v>
      </c>
      <c r="D247" s="547">
        <v>809512.49</v>
      </c>
      <c r="E247" s="548">
        <v>0.18604892467899692</v>
      </c>
      <c r="F247" s="547">
        <v>791655.06803087762</v>
      </c>
      <c r="G247" s="547">
        <v>671398.23233954562</v>
      </c>
      <c r="H247" s="547">
        <v>120256.835691332</v>
      </c>
      <c r="I247" s="547">
        <v>-56085.878251159535</v>
      </c>
      <c r="J247" s="547">
        <v>64170.957440172468</v>
      </c>
      <c r="K247" s="547">
        <v>41671.824952345822</v>
      </c>
      <c r="L247" s="547">
        <v>14447.835923932731</v>
      </c>
      <c r="M247" s="549">
        <v>1.4158087118327192</v>
      </c>
      <c r="N247" s="547">
        <v>81090.929999999993</v>
      </c>
      <c r="O247" s="549">
        <v>1.2427407015745517E-2</v>
      </c>
    </row>
    <row r="248" spans="1:15">
      <c r="A248" s="544">
        <v>21</v>
      </c>
      <c r="B248" s="545">
        <v>417</v>
      </c>
      <c r="C248" s="546" t="s">
        <v>368</v>
      </c>
      <c r="D248" s="547">
        <v>7106191.2999999998</v>
      </c>
      <c r="E248" s="548">
        <v>8.6931750579788414E-2</v>
      </c>
      <c r="F248" s="547">
        <v>6949432.4380861996</v>
      </c>
      <c r="G248" s="547">
        <v>6836968.816309412</v>
      </c>
      <c r="H248" s="547">
        <v>112463.62177678756</v>
      </c>
      <c r="I248" s="547">
        <v>-492341.97743045207</v>
      </c>
      <c r="J248" s="547">
        <v>-379878.3556536645</v>
      </c>
      <c r="K248" s="547">
        <v>365810.24207728135</v>
      </c>
      <c r="L248" s="547">
        <v>147969.52421218943</v>
      </c>
      <c r="M248" s="549">
        <v>0.31191125062450697</v>
      </c>
      <c r="N248" s="547">
        <v>338639.35</v>
      </c>
      <c r="O248" s="549">
        <v>2.5949476193376064E-2</v>
      </c>
    </row>
    <row r="249" spans="1:15">
      <c r="A249" s="544">
        <v>21</v>
      </c>
      <c r="B249" s="545">
        <v>438</v>
      </c>
      <c r="C249" s="546" t="s">
        <v>369</v>
      </c>
      <c r="D249" s="547">
        <v>1407273.38</v>
      </c>
      <c r="E249" s="548">
        <v>7.4340616222531075E-2</v>
      </c>
      <c r="F249" s="547">
        <v>1376229.6655632118</v>
      </c>
      <c r="G249" s="547">
        <v>1352486.1603366428</v>
      </c>
      <c r="H249" s="547">
        <v>23743.505226569017</v>
      </c>
      <c r="I249" s="547">
        <v>-97500.859383624527</v>
      </c>
      <c r="J249" s="547">
        <v>-73757.35415705551</v>
      </c>
      <c r="K249" s="547">
        <v>72443.168790954718</v>
      </c>
      <c r="L249" s="547">
        <v>86179.435304053841</v>
      </c>
      <c r="M249" s="549">
        <v>0.18279016194194098</v>
      </c>
      <c r="N249" s="547">
        <v>79074.720000000001</v>
      </c>
      <c r="O249" s="549">
        <v>2.7598475341252815E-2</v>
      </c>
    </row>
    <row r="250" spans="1:15">
      <c r="A250" s="544">
        <v>21</v>
      </c>
      <c r="B250" s="545">
        <v>478</v>
      </c>
      <c r="C250" s="546" t="s">
        <v>370</v>
      </c>
      <c r="D250" s="547">
        <v>43343000.359999999</v>
      </c>
      <c r="E250" s="548">
        <v>4.0158522106114702E-2</v>
      </c>
      <c r="F250" s="547">
        <v>42386876.450366013</v>
      </c>
      <c r="G250" s="547">
        <v>42354379.982431181</v>
      </c>
      <c r="H250" s="547">
        <v>32496.467934831977</v>
      </c>
      <c r="I250" s="547">
        <v>-3002955.8175574583</v>
      </c>
      <c r="J250" s="547">
        <v>-2970459.3496226263</v>
      </c>
      <c r="K250" s="547">
        <v>2231197.1047060457</v>
      </c>
      <c r="L250" s="547">
        <v>8140659.5460576974</v>
      </c>
      <c r="M250" s="549">
        <v>0.1639184467966297</v>
      </c>
      <c r="N250" s="547">
        <v>2596969.7000000002</v>
      </c>
      <c r="O250" s="549">
        <v>0.72138657403956641</v>
      </c>
    </row>
    <row r="251" spans="1:15">
      <c r="A251" s="544">
        <v>21</v>
      </c>
      <c r="B251" s="545">
        <v>736</v>
      </c>
      <c r="C251" s="546" t="s">
        <v>371</v>
      </c>
      <c r="D251" s="547">
        <v>5772827.6399999997</v>
      </c>
      <c r="E251" s="548">
        <v>3.2479213889886616E-2</v>
      </c>
      <c r="F251" s="547">
        <v>5645482.0827714847</v>
      </c>
      <c r="G251" s="547">
        <v>5689511.4449656252</v>
      </c>
      <c r="H251" s="547">
        <v>-44029.362194140442</v>
      </c>
      <c r="I251" s="547">
        <v>-399961.84392654471</v>
      </c>
      <c r="J251" s="547">
        <v>-443991.20612068515</v>
      </c>
      <c r="K251" s="547">
        <v>297171.77420467429</v>
      </c>
      <c r="L251" s="547">
        <v>1391019.6245439257</v>
      </c>
      <c r="M251" s="549">
        <v>0.41110059095312401</v>
      </c>
      <c r="N251" s="547">
        <v>72412.179999999993</v>
      </c>
      <c r="O251" s="549">
        <v>3.2111366039013545E-2</v>
      </c>
    </row>
    <row r="252" spans="1:15">
      <c r="A252" s="544">
        <v>21</v>
      </c>
      <c r="B252" s="545">
        <v>766</v>
      </c>
      <c r="C252" s="546" t="s">
        <v>372</v>
      </c>
      <c r="D252" s="547">
        <v>353900.42</v>
      </c>
      <c r="E252" s="548">
        <v>0.13474531522924504</v>
      </c>
      <c r="F252" s="547">
        <v>346093.56190570467</v>
      </c>
      <c r="G252" s="547">
        <v>363066.04250118684</v>
      </c>
      <c r="H252" s="547">
        <v>-16972.480595482164</v>
      </c>
      <c r="I252" s="547">
        <v>-24519.468339709278</v>
      </c>
      <c r="J252" s="547">
        <v>-41491.948935191438</v>
      </c>
      <c r="K252" s="547">
        <v>18217.972588417586</v>
      </c>
      <c r="L252" s="547">
        <v>18705.4838693192</v>
      </c>
      <c r="M252" s="549">
        <v>0.44569393986247952</v>
      </c>
      <c r="N252" s="547">
        <v>24553.1</v>
      </c>
      <c r="O252" s="549">
        <v>4.0383389018243676E-2</v>
      </c>
    </row>
    <row r="253" spans="1:15">
      <c r="A253" s="544">
        <v>21</v>
      </c>
      <c r="B253" s="545">
        <v>771</v>
      </c>
      <c r="C253" s="546" t="s">
        <v>373</v>
      </c>
      <c r="D253" s="547">
        <v>3526558.97</v>
      </c>
      <c r="E253" s="548">
        <v>3.639415077680197E-2</v>
      </c>
      <c r="F253" s="547">
        <v>3448764.9243191439</v>
      </c>
      <c r="G253" s="547">
        <v>3414251.065896864</v>
      </c>
      <c r="H253" s="547">
        <v>34513.858422279824</v>
      </c>
      <c r="I253" s="547">
        <v>-244332.43400229013</v>
      </c>
      <c r="J253" s="547">
        <v>-209818.57558001031</v>
      </c>
      <c r="K253" s="547">
        <v>181539.07431615415</v>
      </c>
      <c r="L253" s="547">
        <v>96562.539221077852</v>
      </c>
      <c r="M253" s="549">
        <v>0.5975847993639416</v>
      </c>
      <c r="N253" s="547">
        <v>109859.11</v>
      </c>
      <c r="O253" s="549">
        <v>3.476893222867905E-2</v>
      </c>
    </row>
    <row r="254" spans="1:15">
      <c r="A254" s="544">
        <v>21</v>
      </c>
      <c r="B254" s="545">
        <v>941</v>
      </c>
      <c r="C254" s="546" t="s">
        <v>374</v>
      </c>
      <c r="D254" s="547">
        <v>1332748.55</v>
      </c>
      <c r="E254" s="548">
        <v>1.8157447381963232E-2</v>
      </c>
      <c r="F254" s="547">
        <v>1303348.8143194721</v>
      </c>
      <c r="G254" s="547">
        <v>1366277.8681965335</v>
      </c>
      <c r="H254" s="547">
        <v>-62929.053877061466</v>
      </c>
      <c r="I254" s="547">
        <v>-92337.516515291078</v>
      </c>
      <c r="J254" s="547">
        <v>-155266.57039235253</v>
      </c>
      <c r="K254" s="547">
        <v>68606.803436834831</v>
      </c>
      <c r="L254" s="547">
        <v>29294.728350992238</v>
      </c>
      <c r="M254" s="549">
        <v>0.20083215319085479</v>
      </c>
      <c r="N254" s="547">
        <v>78287.100000000006</v>
      </c>
      <c r="O254" s="549">
        <v>5.4888444271712356E-3</v>
      </c>
    </row>
    <row r="257" spans="1:17" ht="15.75">
      <c r="A257" s="85"/>
      <c r="B257" s="556"/>
      <c r="C257" s="556"/>
      <c r="D257" s="556"/>
      <c r="E257" s="104"/>
      <c r="F257" s="821"/>
      <c r="G257" s="821"/>
      <c r="H257" s="821"/>
      <c r="I257" s="821"/>
      <c r="J257" s="821"/>
      <c r="K257" s="821"/>
      <c r="L257" s="821"/>
      <c r="M257" s="821"/>
      <c r="N257" s="820"/>
      <c r="O257"/>
    </row>
    <row r="258" spans="1:17" ht="15.75">
      <c r="A258" s="104"/>
      <c r="B258" s="822"/>
      <c r="C258" s="822"/>
      <c r="D258" s="822"/>
      <c r="E258" s="822"/>
      <c r="F258" s="820"/>
      <c r="G258" s="820"/>
      <c r="H258" s="820"/>
      <c r="I258" s="820"/>
      <c r="J258" s="820"/>
      <c r="K258" s="820"/>
      <c r="L258" s="820"/>
      <c r="M258" s="820"/>
      <c r="N258" s="820"/>
      <c r="O258"/>
    </row>
    <row r="259" spans="1:17" ht="15.75">
      <c r="A259" s="554"/>
      <c r="B259" s="556"/>
      <c r="C259" s="556"/>
      <c r="D259" s="556"/>
      <c r="E259" s="556"/>
      <c r="F259" s="556"/>
      <c r="G259" s="556"/>
      <c r="H259" s="556"/>
      <c r="I259"/>
      <c r="J259"/>
      <c r="K259"/>
      <c r="L259"/>
      <c r="M259"/>
      <c r="N259"/>
      <c r="O259"/>
    </row>
    <row r="260" spans="1:17" ht="15.75">
      <c r="A260" s="554"/>
      <c r="B260" s="556"/>
      <c r="C260" s="556"/>
      <c r="D260" s="556"/>
      <c r="E260" s="556"/>
      <c r="F260" s="556"/>
      <c r="G260" s="556"/>
      <c r="H260" s="556"/>
      <c r="I260"/>
      <c r="J260"/>
      <c r="K260"/>
      <c r="L260"/>
      <c r="M260"/>
      <c r="N260"/>
      <c r="O260"/>
    </row>
    <row r="261" spans="1:17" ht="15.75">
      <c r="A261" s="555"/>
      <c r="B261" s="844"/>
      <c r="C261" s="844"/>
      <c r="D261" s="844"/>
      <c r="E261" s="844"/>
      <c r="F261" s="844"/>
      <c r="G261" s="844"/>
      <c r="H261" s="556"/>
      <c r="I261"/>
      <c r="J261"/>
      <c r="K261"/>
      <c r="L261"/>
      <c r="M261"/>
      <c r="N261"/>
      <c r="O261"/>
    </row>
    <row r="263" spans="1:17">
      <c r="A263" s="770"/>
      <c r="B263" s="770"/>
      <c r="C263" s="770"/>
      <c r="D263" s="770"/>
      <c r="E263" s="555"/>
      <c r="F263" s="85"/>
      <c r="G263" s="85"/>
      <c r="H263" s="770"/>
      <c r="I263" s="770"/>
      <c r="J263" s="770"/>
      <c r="K263" s="770"/>
      <c r="L263" s="770"/>
      <c r="M263" s="770"/>
      <c r="N263" s="770"/>
      <c r="O263" s="770"/>
    </row>
    <row r="264" spans="1:17">
      <c r="A264" s="770"/>
      <c r="B264" s="770"/>
      <c r="C264" s="770"/>
      <c r="D264" s="770"/>
      <c r="E264" s="554"/>
      <c r="F264" s="85"/>
      <c r="G264" s="85"/>
      <c r="H264" s="770"/>
      <c r="I264" s="770"/>
      <c r="J264" s="770"/>
      <c r="K264" s="770"/>
      <c r="L264" s="770"/>
      <c r="M264" s="770"/>
      <c r="N264" s="770"/>
      <c r="O264" s="770"/>
    </row>
    <row r="265" spans="1:17">
      <c r="A265" s="770"/>
      <c r="B265" s="770"/>
      <c r="C265" s="770"/>
      <c r="D265" s="770"/>
      <c r="E265" s="555"/>
      <c r="F265" s="85"/>
      <c r="G265" s="85"/>
      <c r="H265" s="770"/>
      <c r="I265" s="770"/>
      <c r="J265" s="770"/>
      <c r="K265" s="770"/>
      <c r="L265" s="770"/>
      <c r="M265" s="770"/>
      <c r="N265" s="770"/>
      <c r="O265" s="770"/>
    </row>
    <row r="266" spans="1:17">
      <c r="E266" s="555"/>
      <c r="F266" s="85"/>
      <c r="G266" s="85"/>
    </row>
    <row r="267" spans="1:17" ht="15.75">
      <c r="B267" s="551" t="s">
        <v>615</v>
      </c>
      <c r="C267"/>
      <c r="D267"/>
      <c r="E267"/>
      <c r="F267"/>
      <c r="G267"/>
      <c r="H267"/>
      <c r="I267"/>
      <c r="J267"/>
      <c r="K267"/>
      <c r="L267"/>
      <c r="M267"/>
      <c r="N267"/>
      <c r="O267"/>
      <c r="P267"/>
      <c r="Q267"/>
    </row>
    <row r="268" spans="1:17" ht="16.5" thickBot="1">
      <c r="B268" s="552"/>
      <c r="C268" s="552"/>
      <c r="D268" s="552"/>
      <c r="E268" s="552"/>
      <c r="F268" s="552"/>
      <c r="G268" s="552"/>
      <c r="H268" s="552"/>
      <c r="I268" s="552"/>
      <c r="J268" s="552"/>
      <c r="K268" s="552"/>
      <c r="L268" s="552"/>
      <c r="M268" s="552"/>
      <c r="N268" s="552"/>
      <c r="O268"/>
      <c r="P268"/>
      <c r="Q268"/>
    </row>
    <row r="269" spans="1:17" ht="15.75">
      <c r="B269" s="85"/>
      <c r="C269" s="85"/>
      <c r="D269" s="845" t="s">
        <v>616</v>
      </c>
      <c r="E269" s="845"/>
      <c r="F269" s="85"/>
      <c r="G269" s="846" t="s">
        <v>617</v>
      </c>
      <c r="H269" s="846"/>
      <c r="I269" s="846"/>
      <c r="J269" s="846"/>
      <c r="K269" s="846"/>
      <c r="L269" s="846"/>
      <c r="M269" s="846"/>
      <c r="N269" s="846"/>
      <c r="O269"/>
      <c r="P269"/>
      <c r="Q269"/>
    </row>
    <row r="270" spans="1:17" ht="15.75">
      <c r="B270" s="85"/>
      <c r="C270" s="85"/>
      <c r="D270" s="847" t="s">
        <v>618</v>
      </c>
      <c r="E270" s="847"/>
      <c r="F270" s="85"/>
      <c r="G270" s="847" t="s">
        <v>619</v>
      </c>
      <c r="H270" s="847"/>
      <c r="I270" s="85"/>
      <c r="J270" s="847" t="s">
        <v>620</v>
      </c>
      <c r="K270" s="847"/>
      <c r="L270" s="85"/>
      <c r="M270" s="847" t="s">
        <v>621</v>
      </c>
      <c r="N270" s="847"/>
      <c r="O270"/>
      <c r="P270"/>
      <c r="Q270"/>
    </row>
    <row r="271" spans="1:17" ht="15.75">
      <c r="B271" s="105"/>
      <c r="C271" s="105"/>
      <c r="D271" s="105">
        <v>2023</v>
      </c>
      <c r="E271" s="105">
        <v>2024</v>
      </c>
      <c r="F271" s="105"/>
      <c r="G271" s="105">
        <v>2023</v>
      </c>
      <c r="H271" s="105">
        <v>2024</v>
      </c>
      <c r="I271" s="105"/>
      <c r="J271" s="105">
        <v>2023</v>
      </c>
      <c r="K271" s="105">
        <v>2024</v>
      </c>
      <c r="L271" s="105"/>
      <c r="M271" s="105">
        <v>2023</v>
      </c>
      <c r="N271" s="105">
        <v>2024</v>
      </c>
      <c r="O271"/>
      <c r="P271"/>
      <c r="Q271"/>
    </row>
    <row r="272" spans="1:17" ht="15.75">
      <c r="B272" s="248" t="s">
        <v>92</v>
      </c>
      <c r="C272" s="248"/>
      <c r="D272" s="365">
        <v>17.75</v>
      </c>
      <c r="E272" s="365">
        <v>17.7</v>
      </c>
      <c r="F272" s="365"/>
      <c r="G272" s="365">
        <v>0</v>
      </c>
      <c r="H272" s="365">
        <v>0</v>
      </c>
      <c r="I272" s="365"/>
      <c r="J272" s="365">
        <v>0.9</v>
      </c>
      <c r="K272" s="365">
        <v>0.9</v>
      </c>
      <c r="L272" s="365"/>
      <c r="M272" s="365">
        <v>0</v>
      </c>
      <c r="N272" s="365">
        <v>0</v>
      </c>
      <c r="O272"/>
      <c r="P272"/>
      <c r="Q272">
        <v>0.17699999999999999</v>
      </c>
    </row>
    <row r="273" spans="2:17" ht="15.75">
      <c r="B273" s="248" t="s">
        <v>93</v>
      </c>
      <c r="C273" s="248"/>
      <c r="D273" s="365">
        <v>18.5</v>
      </c>
      <c r="E273" s="365">
        <v>18.5</v>
      </c>
      <c r="F273" s="365"/>
      <c r="G273" s="365">
        <v>0</v>
      </c>
      <c r="H273" s="365">
        <v>0</v>
      </c>
      <c r="I273" s="365"/>
      <c r="J273" s="365">
        <v>0.9</v>
      </c>
      <c r="K273" s="365">
        <v>0.9</v>
      </c>
      <c r="L273" s="365"/>
      <c r="M273" s="365">
        <v>0.7</v>
      </c>
      <c r="N273" s="365">
        <v>0.7</v>
      </c>
      <c r="O273"/>
      <c r="P273"/>
      <c r="Q273">
        <v>0.185</v>
      </c>
    </row>
    <row r="274" spans="2:17" ht="15.75">
      <c r="B274" s="248" t="s">
        <v>94</v>
      </c>
      <c r="C274" s="248"/>
      <c r="D274" s="365">
        <v>19.5</v>
      </c>
      <c r="E274" s="365">
        <v>19.5</v>
      </c>
      <c r="F274" s="365"/>
      <c r="G274" s="365">
        <v>0</v>
      </c>
      <c r="H274" s="365">
        <v>0</v>
      </c>
      <c r="I274" s="365"/>
      <c r="J274" s="365">
        <v>0.9</v>
      </c>
      <c r="K274" s="365">
        <v>0.9</v>
      </c>
      <c r="L274" s="365"/>
      <c r="M274" s="365">
        <v>0.5</v>
      </c>
      <c r="N274" s="365">
        <v>0.5</v>
      </c>
      <c r="O274"/>
      <c r="P274"/>
      <c r="Q274">
        <v>0.19500000000000001</v>
      </c>
    </row>
    <row r="275" spans="2:17" ht="15.75">
      <c r="B275" s="248" t="s">
        <v>95</v>
      </c>
      <c r="C275" s="248"/>
      <c r="D275" s="365">
        <v>17.5</v>
      </c>
      <c r="E275" s="365">
        <v>18.5</v>
      </c>
      <c r="F275" s="365"/>
      <c r="G275" s="365">
        <v>0</v>
      </c>
      <c r="H275" s="365">
        <v>0.2</v>
      </c>
      <c r="I275" s="365"/>
      <c r="J275" s="365">
        <v>0.9</v>
      </c>
      <c r="K275" s="365">
        <v>0.9</v>
      </c>
      <c r="L275" s="365"/>
      <c r="M275" s="365">
        <v>0.9</v>
      </c>
      <c r="N275" s="365">
        <v>0.9</v>
      </c>
      <c r="O275"/>
      <c r="P275"/>
      <c r="Q275">
        <v>0.185</v>
      </c>
    </row>
    <row r="276" spans="2:17" ht="15.75">
      <c r="B276" s="248" t="s">
        <v>96</v>
      </c>
      <c r="C276" s="248"/>
      <c r="D276" s="365">
        <v>18.5</v>
      </c>
      <c r="E276" s="365">
        <v>18.5</v>
      </c>
      <c r="F276" s="365"/>
      <c r="G276" s="365">
        <v>0</v>
      </c>
      <c r="H276" s="365">
        <v>0</v>
      </c>
      <c r="I276" s="365"/>
      <c r="J276" s="365">
        <v>0.9</v>
      </c>
      <c r="K276" s="365">
        <v>0.9</v>
      </c>
      <c r="L276" s="365"/>
      <c r="M276" s="365">
        <v>0.6</v>
      </c>
      <c r="N276" s="365">
        <v>0.6</v>
      </c>
      <c r="O276"/>
      <c r="P276"/>
      <c r="Q276">
        <v>0.185</v>
      </c>
    </row>
    <row r="277" spans="2:17" ht="15.75">
      <c r="B277" s="248" t="s">
        <v>97</v>
      </c>
      <c r="C277" s="248"/>
      <c r="D277" s="365">
        <v>18</v>
      </c>
      <c r="E277" s="365">
        <v>18</v>
      </c>
      <c r="F277" s="365"/>
      <c r="G277" s="365">
        <v>0</v>
      </c>
      <c r="H277" s="365">
        <v>0</v>
      </c>
      <c r="I277" s="365"/>
      <c r="J277" s="365">
        <v>0.9</v>
      </c>
      <c r="K277" s="365">
        <v>0.9</v>
      </c>
      <c r="L277" s="365"/>
      <c r="M277" s="365">
        <v>0.2</v>
      </c>
      <c r="N277" s="365">
        <v>0.2</v>
      </c>
      <c r="O277"/>
      <c r="P277"/>
      <c r="Q277">
        <v>0.18</v>
      </c>
    </row>
    <row r="278" spans="2:17" ht="15.75">
      <c r="B278" s="85" t="s">
        <v>98</v>
      </c>
      <c r="C278" s="85"/>
      <c r="D278" s="365">
        <v>16.5</v>
      </c>
      <c r="E278" s="365">
        <v>16.5</v>
      </c>
      <c r="F278" s="365"/>
      <c r="G278" s="365">
        <v>0</v>
      </c>
      <c r="H278" s="365">
        <v>0</v>
      </c>
      <c r="I278" s="365"/>
      <c r="J278" s="365">
        <v>0.9</v>
      </c>
      <c r="K278" s="365">
        <v>0.9</v>
      </c>
      <c r="L278" s="365"/>
      <c r="M278" s="365">
        <v>0.3</v>
      </c>
      <c r="N278" s="365">
        <v>0.3</v>
      </c>
      <c r="O278"/>
      <c r="P278"/>
      <c r="Q278">
        <v>0.16500000000000001</v>
      </c>
    </row>
    <row r="279" spans="2:17" ht="15.75">
      <c r="B279" s="248" t="s">
        <v>99</v>
      </c>
      <c r="C279" s="248"/>
      <c r="D279" s="365">
        <v>18.5</v>
      </c>
      <c r="E279" s="365">
        <v>19</v>
      </c>
      <c r="F279" s="365"/>
      <c r="G279" s="365">
        <v>0.2</v>
      </c>
      <c r="H279" s="365">
        <v>0.2</v>
      </c>
      <c r="I279" s="365"/>
      <c r="J279" s="365">
        <v>0.9</v>
      </c>
      <c r="K279" s="365">
        <v>0.9</v>
      </c>
      <c r="L279" s="365"/>
      <c r="M279" s="365">
        <v>0.6</v>
      </c>
      <c r="N279" s="365">
        <v>0.6</v>
      </c>
      <c r="O279"/>
      <c r="P279"/>
      <c r="Q279">
        <v>0.19</v>
      </c>
    </row>
    <row r="280" spans="2:17" ht="15.75">
      <c r="B280" s="248" t="s">
        <v>100</v>
      </c>
      <c r="C280" s="248"/>
      <c r="D280" s="365">
        <v>19.75</v>
      </c>
      <c r="E280" s="365">
        <v>19.7</v>
      </c>
      <c r="F280" s="365"/>
      <c r="G280" s="365">
        <v>0</v>
      </c>
      <c r="H280" s="365">
        <v>0</v>
      </c>
      <c r="I280" s="365"/>
      <c r="J280" s="365">
        <v>0.9</v>
      </c>
      <c r="K280" s="365">
        <v>0.9</v>
      </c>
      <c r="L280" s="365"/>
      <c r="M280" s="365">
        <v>0.4</v>
      </c>
      <c r="N280" s="365">
        <v>0.4</v>
      </c>
      <c r="O280" s="501"/>
      <c r="P280" s="501"/>
      <c r="Q280">
        <v>0.19699999999999998</v>
      </c>
    </row>
    <row r="281" spans="2:17" ht="15.75">
      <c r="B281" s="248" t="s">
        <v>101</v>
      </c>
      <c r="C281" s="248"/>
      <c r="D281" s="365">
        <v>17.5</v>
      </c>
      <c r="E281" s="365">
        <v>17.5</v>
      </c>
      <c r="F281" s="365"/>
      <c r="G281" s="365">
        <v>0</v>
      </c>
      <c r="H281" s="365">
        <v>0</v>
      </c>
      <c r="I281" s="365"/>
      <c r="J281" s="365">
        <v>0.9</v>
      </c>
      <c r="K281" s="365">
        <v>0.9</v>
      </c>
      <c r="L281" s="365"/>
      <c r="M281" s="365">
        <v>1</v>
      </c>
      <c r="N281" s="365">
        <v>1</v>
      </c>
      <c r="O281"/>
      <c r="P281"/>
      <c r="Q281">
        <v>0.17499999999999999</v>
      </c>
    </row>
    <row r="282" spans="2:17" ht="15.75">
      <c r="B282" s="85" t="s">
        <v>102</v>
      </c>
      <c r="C282" s="85"/>
      <c r="D282" s="365">
        <v>19.5</v>
      </c>
      <c r="E282" s="365">
        <v>19.5</v>
      </c>
      <c r="F282" s="365"/>
      <c r="G282" s="365">
        <v>0</v>
      </c>
      <c r="H282" s="365">
        <v>0</v>
      </c>
      <c r="I282" s="365"/>
      <c r="J282" s="365">
        <v>0.9</v>
      </c>
      <c r="K282" s="365">
        <v>0.9</v>
      </c>
      <c r="L282" s="365"/>
      <c r="M282" s="365">
        <v>0.6</v>
      </c>
      <c r="N282" s="365">
        <v>0.6</v>
      </c>
      <c r="O282"/>
      <c r="P282"/>
      <c r="Q282">
        <v>0.19500000000000001</v>
      </c>
    </row>
    <row r="283" spans="2:17" ht="15.75">
      <c r="B283" s="248" t="s">
        <v>103</v>
      </c>
      <c r="C283" s="248"/>
      <c r="D283" s="365">
        <v>18.25</v>
      </c>
      <c r="E283" s="365">
        <v>18.5</v>
      </c>
      <c r="F283" s="365"/>
      <c r="G283" s="365">
        <v>0</v>
      </c>
      <c r="H283" s="365">
        <v>0</v>
      </c>
      <c r="I283" s="365"/>
      <c r="J283" s="365">
        <v>0.9</v>
      </c>
      <c r="K283" s="365">
        <v>0.9</v>
      </c>
      <c r="L283" s="365"/>
      <c r="M283" s="365">
        <v>0</v>
      </c>
      <c r="N283" s="365">
        <v>0</v>
      </c>
      <c r="O283"/>
      <c r="P283"/>
      <c r="Q283">
        <v>0.185</v>
      </c>
    </row>
    <row r="284" spans="2:17" ht="15.75">
      <c r="B284" s="248" t="s">
        <v>104</v>
      </c>
      <c r="C284" s="248"/>
      <c r="D284" s="365">
        <v>18</v>
      </c>
      <c r="E284" s="365">
        <v>18</v>
      </c>
      <c r="F284" s="365"/>
      <c r="G284" s="365">
        <v>0.5</v>
      </c>
      <c r="H284" s="365">
        <v>0.5</v>
      </c>
      <c r="I284" s="365"/>
      <c r="J284" s="365">
        <v>0.9</v>
      </c>
      <c r="K284" s="365">
        <v>0.9</v>
      </c>
      <c r="L284" s="365"/>
      <c r="M284" s="365">
        <v>0</v>
      </c>
      <c r="N284" s="365">
        <v>0</v>
      </c>
      <c r="O284" s="501"/>
      <c r="P284"/>
      <c r="Q284">
        <v>0.18</v>
      </c>
    </row>
    <row r="285" spans="2:17" ht="15.75">
      <c r="B285" s="248" t="s">
        <v>105</v>
      </c>
      <c r="C285" s="248"/>
      <c r="D285" s="365">
        <v>19.5</v>
      </c>
      <c r="E285" s="365">
        <v>19</v>
      </c>
      <c r="F285" s="365"/>
      <c r="G285" s="365">
        <v>0</v>
      </c>
      <c r="H285" s="365">
        <v>0</v>
      </c>
      <c r="I285" s="365"/>
      <c r="J285" s="365">
        <v>0.9</v>
      </c>
      <c r="K285" s="365">
        <v>0.9</v>
      </c>
      <c r="L285" s="365"/>
      <c r="M285" s="365">
        <v>0.5</v>
      </c>
      <c r="N285" s="365">
        <v>0.5</v>
      </c>
      <c r="O285"/>
      <c r="P285"/>
      <c r="Q285">
        <v>0.19</v>
      </c>
    </row>
    <row r="286" spans="2:17" ht="15.75">
      <c r="B286" s="248" t="s">
        <v>106</v>
      </c>
      <c r="C286" s="248"/>
      <c r="D286" s="365">
        <v>19</v>
      </c>
      <c r="E286" s="365">
        <v>19</v>
      </c>
      <c r="F286" s="365"/>
      <c r="G286" s="365">
        <v>0</v>
      </c>
      <c r="H286" s="365">
        <v>0</v>
      </c>
      <c r="I286" s="365"/>
      <c r="J286" s="365">
        <v>0.9</v>
      </c>
      <c r="K286" s="365">
        <v>0.9</v>
      </c>
      <c r="L286" s="365"/>
      <c r="M286" s="365">
        <v>0.1</v>
      </c>
      <c r="N286" s="365">
        <v>0.1</v>
      </c>
      <c r="O286"/>
      <c r="P286"/>
      <c r="Q286">
        <v>0.19</v>
      </c>
    </row>
    <row r="287" spans="2:17" ht="15.75">
      <c r="B287" s="85" t="s">
        <v>107</v>
      </c>
      <c r="C287" s="85"/>
      <c r="D287" s="365">
        <v>17</v>
      </c>
      <c r="E287" s="365">
        <v>17</v>
      </c>
      <c r="F287" s="365"/>
      <c r="G287" s="365">
        <v>0.5</v>
      </c>
      <c r="H287" s="365">
        <v>0.5</v>
      </c>
      <c r="I287" s="365"/>
      <c r="J287" s="365">
        <v>0.9</v>
      </c>
      <c r="K287" s="365">
        <v>0.9</v>
      </c>
      <c r="L287" s="365"/>
      <c r="M287" s="365">
        <v>0.5</v>
      </c>
      <c r="N287" s="365">
        <v>0.5</v>
      </c>
      <c r="O287"/>
      <c r="P287"/>
      <c r="Q287">
        <v>0.17</v>
      </c>
    </row>
    <row r="288" spans="2:17" ht="15.75">
      <c r="B288" s="85" t="s">
        <v>376</v>
      </c>
      <c r="C288" s="85"/>
      <c r="D288" s="365">
        <v>17.845403232352869</v>
      </c>
      <c r="E288" s="365">
        <v>17.87253844601992</v>
      </c>
      <c r="F288" s="365"/>
      <c r="G288" s="365">
        <v>5.325392907221194E-3</v>
      </c>
      <c r="H288" s="365">
        <v>1.0594166195429879E-2</v>
      </c>
      <c r="I288" s="365"/>
      <c r="J288" s="365">
        <v>0.9</v>
      </c>
      <c r="K288" s="365">
        <v>0.90000000000000024</v>
      </c>
      <c r="L288" s="365"/>
      <c r="M288" s="365">
        <v>0.41495611704609253</v>
      </c>
      <c r="N288" s="365">
        <v>0.41519185723579044</v>
      </c>
      <c r="O288"/>
      <c r="P288"/>
      <c r="Q288"/>
    </row>
    <row r="289" spans="2:33" ht="15.75">
      <c r="B289" s="85" t="s">
        <v>377</v>
      </c>
      <c r="C289" s="85"/>
      <c r="D289" s="365">
        <v>17.796229244372714</v>
      </c>
      <c r="E289" s="365">
        <v>17.792746625133223</v>
      </c>
      <c r="F289" s="365"/>
      <c r="G289" s="365">
        <v>0</v>
      </c>
      <c r="H289" s="365">
        <v>0</v>
      </c>
      <c r="I289" s="365"/>
      <c r="J289" s="365">
        <v>0.90000000000000013</v>
      </c>
      <c r="K289" s="365">
        <v>0.90000000000000024</v>
      </c>
      <c r="L289" s="365"/>
      <c r="M289" s="365">
        <v>0.4437729656860015</v>
      </c>
      <c r="N289" s="365">
        <v>0.44275046045235245</v>
      </c>
      <c r="O289"/>
      <c r="P289"/>
      <c r="Q289"/>
    </row>
    <row r="290" spans="2:33" ht="15.75">
      <c r="B290" s="85" t="s">
        <v>378</v>
      </c>
      <c r="C290" s="85"/>
      <c r="D290" s="365">
        <v>18.258736426174817</v>
      </c>
      <c r="E290" s="365">
        <v>18.543230605079259</v>
      </c>
      <c r="F290" s="365"/>
      <c r="G290" s="365">
        <v>5.0730181344149888E-2</v>
      </c>
      <c r="H290" s="365">
        <v>0.10211897267020137</v>
      </c>
      <c r="I290" s="365"/>
      <c r="J290" s="365">
        <v>0.9</v>
      </c>
      <c r="K290" s="365">
        <v>0.90000000000000013</v>
      </c>
      <c r="L290" s="365"/>
      <c r="M290" s="365">
        <v>0.30655283574413722</v>
      </c>
      <c r="N290" s="365">
        <v>0.30728825335739768</v>
      </c>
      <c r="O290"/>
      <c r="P290"/>
      <c r="Q290"/>
    </row>
    <row r="291" spans="2:33" ht="16.5" thickBot="1">
      <c r="B291" s="553" t="s">
        <v>108</v>
      </c>
      <c r="C291" s="553"/>
      <c r="D291" s="819">
        <v>17.487139938952499</v>
      </c>
      <c r="E291" s="819">
        <v>17.502775845965111</v>
      </c>
      <c r="F291" s="819"/>
      <c r="G291" s="819">
        <v>0.21811806051916849</v>
      </c>
      <c r="H291" s="819">
        <v>0.22205727353078619</v>
      </c>
      <c r="I291" s="819"/>
      <c r="J291" s="819">
        <v>0.9</v>
      </c>
      <c r="K291" s="819">
        <v>0.90000000000000024</v>
      </c>
      <c r="L291" s="819"/>
      <c r="M291" s="819">
        <v>0.44961510038456093</v>
      </c>
      <c r="N291" s="819">
        <v>0.44984452609274211</v>
      </c>
      <c r="O291"/>
      <c r="P291">
        <v>0.17487139938952498</v>
      </c>
      <c r="Q291">
        <v>0.1750277584596511</v>
      </c>
    </row>
    <row r="292" spans="2:33" ht="15.75">
      <c r="B292" s="554" t="s">
        <v>622</v>
      </c>
      <c r="C292"/>
      <c r="D292"/>
      <c r="E292"/>
      <c r="F292"/>
      <c r="G292"/>
      <c r="H292"/>
      <c r="I292"/>
      <c r="J292"/>
      <c r="K292"/>
      <c r="L292"/>
      <c r="M292"/>
      <c r="N292"/>
      <c r="O292"/>
      <c r="P292"/>
      <c r="Q292"/>
    </row>
    <row r="293" spans="2:33" ht="15.75">
      <c r="B293" s="554" t="s">
        <v>602</v>
      </c>
      <c r="C293"/>
      <c r="D293"/>
      <c r="E293"/>
      <c r="F293"/>
      <c r="G293"/>
      <c r="H293"/>
      <c r="I293"/>
      <c r="J293"/>
      <c r="K293"/>
      <c r="L293"/>
      <c r="M293"/>
      <c r="N293"/>
      <c r="O293"/>
      <c r="P293"/>
      <c r="Q293"/>
    </row>
    <row r="294" spans="2:33" ht="15.75">
      <c r="B294" s="555" t="s">
        <v>623</v>
      </c>
      <c r="C294"/>
      <c r="D294"/>
      <c r="E294"/>
      <c r="F294"/>
      <c r="G294"/>
      <c r="H294"/>
      <c r="I294"/>
      <c r="J294"/>
      <c r="K294"/>
      <c r="L294"/>
      <c r="M294"/>
      <c r="N294"/>
      <c r="O294"/>
      <c r="P294"/>
      <c r="Q294"/>
    </row>
    <row r="295" spans="2:33" ht="15.75">
      <c r="B295" s="554"/>
      <c r="C295"/>
      <c r="D295"/>
      <c r="E295"/>
      <c r="F295"/>
      <c r="G295"/>
      <c r="H295"/>
      <c r="I295"/>
      <c r="J295"/>
      <c r="K295"/>
      <c r="L295"/>
      <c r="M295"/>
      <c r="N295"/>
      <c r="O295"/>
      <c r="P295"/>
      <c r="Q295"/>
    </row>
    <row r="296" spans="2:33">
      <c r="B296" s="248" t="s">
        <v>602</v>
      </c>
      <c r="C296" s="85"/>
      <c r="D296" s="85"/>
      <c r="E296" s="85"/>
      <c r="F296" s="85"/>
      <c r="G296" s="85"/>
      <c r="H296" s="85"/>
      <c r="I296" s="85"/>
      <c r="J296" s="85"/>
      <c r="K296" s="85"/>
      <c r="L296" s="85"/>
      <c r="M296" s="85"/>
      <c r="N296" s="85"/>
      <c r="O296" s="85"/>
      <c r="P296" s="85"/>
      <c r="Q296" s="85"/>
      <c r="R296" s="85"/>
      <c r="S296" s="85"/>
      <c r="T296" s="85"/>
      <c r="U296" s="85"/>
      <c r="V296" s="85"/>
      <c r="W296" s="85"/>
      <c r="X296" s="85"/>
      <c r="Y296" s="85"/>
      <c r="Z296" s="85"/>
      <c r="AA296" s="85"/>
      <c r="AB296" s="85"/>
      <c r="AC296" s="85"/>
      <c r="AD296" s="85"/>
      <c r="AE296" s="85"/>
      <c r="AF296" s="85"/>
      <c r="AG296" s="85"/>
    </row>
    <row r="297" spans="2:33" ht="15.75" thickBot="1">
      <c r="B297" s="824" t="s">
        <v>626</v>
      </c>
      <c r="C297" s="825"/>
      <c r="D297" s="825"/>
      <c r="E297" s="825"/>
      <c r="F297" s="825"/>
      <c r="G297" s="825"/>
      <c r="H297" s="825"/>
      <c r="I297" s="825"/>
      <c r="J297" s="825"/>
      <c r="K297" s="825"/>
      <c r="L297" s="825"/>
      <c r="M297" s="825"/>
      <c r="N297" s="825"/>
      <c r="O297" s="825"/>
      <c r="P297" s="825"/>
      <c r="Q297" s="825"/>
      <c r="R297" s="825"/>
      <c r="S297" s="825"/>
      <c r="T297" s="825"/>
      <c r="U297" s="825"/>
      <c r="V297" s="85"/>
      <c r="W297" s="85"/>
      <c r="X297" s="85"/>
      <c r="Y297" s="85"/>
      <c r="Z297" s="85"/>
      <c r="AA297" s="85"/>
      <c r="AB297" s="85"/>
      <c r="AC297" s="85"/>
      <c r="AD297" s="85"/>
      <c r="AE297" s="85"/>
      <c r="AF297" s="85"/>
      <c r="AG297" s="85"/>
    </row>
    <row r="298" spans="2:33">
      <c r="B298" s="826" t="s">
        <v>264</v>
      </c>
      <c r="C298" s="826">
        <v>1998</v>
      </c>
      <c r="D298" s="826">
        <v>1999</v>
      </c>
      <c r="E298" s="826">
        <v>2000</v>
      </c>
      <c r="F298" s="826">
        <v>2001</v>
      </c>
      <c r="G298" s="826">
        <v>2002</v>
      </c>
      <c r="H298" s="826">
        <v>2003</v>
      </c>
      <c r="I298" s="826">
        <v>2004</v>
      </c>
      <c r="J298" s="826">
        <v>2005</v>
      </c>
      <c r="K298" s="826">
        <v>2006</v>
      </c>
      <c r="L298" s="826">
        <v>2007</v>
      </c>
      <c r="M298" s="826">
        <v>2008</v>
      </c>
      <c r="N298" s="826">
        <v>2009</v>
      </c>
      <c r="O298" s="826">
        <v>2010</v>
      </c>
      <c r="P298" s="826">
        <v>2011</v>
      </c>
      <c r="Q298" s="826">
        <v>2012</v>
      </c>
      <c r="R298" s="826">
        <v>2013</v>
      </c>
      <c r="S298" s="826">
        <v>2014</v>
      </c>
      <c r="T298" s="826">
        <v>2015</v>
      </c>
      <c r="U298" s="826">
        <v>2016</v>
      </c>
      <c r="V298" s="826">
        <v>2017</v>
      </c>
      <c r="W298" s="826">
        <v>2018</v>
      </c>
      <c r="X298" s="827">
        <v>2019</v>
      </c>
      <c r="Y298" s="827">
        <v>2020</v>
      </c>
      <c r="Z298" s="827">
        <v>2021</v>
      </c>
      <c r="AA298" s="827">
        <v>2022</v>
      </c>
      <c r="AB298" s="827" t="s">
        <v>375</v>
      </c>
      <c r="AC298" s="827" t="s">
        <v>627</v>
      </c>
      <c r="AD298" s="85"/>
      <c r="AE298" s="85"/>
      <c r="AF298" s="85"/>
      <c r="AG298" s="85"/>
    </row>
    <row r="299" spans="2:33">
      <c r="B299" s="85" t="s">
        <v>92</v>
      </c>
      <c r="C299" s="117">
        <v>16.5</v>
      </c>
      <c r="D299" s="117">
        <v>16.5</v>
      </c>
      <c r="E299" s="117">
        <v>16.5</v>
      </c>
      <c r="F299" s="117">
        <v>17.5</v>
      </c>
      <c r="G299" s="117">
        <v>17.5</v>
      </c>
      <c r="H299" s="117">
        <v>17.5</v>
      </c>
      <c r="I299" s="117">
        <v>17.5</v>
      </c>
      <c r="J299" s="117">
        <v>17.5</v>
      </c>
      <c r="K299" s="117">
        <v>18</v>
      </c>
      <c r="L299" s="117">
        <v>18</v>
      </c>
      <c r="M299" s="117">
        <v>17</v>
      </c>
      <c r="N299" s="828">
        <v>17</v>
      </c>
      <c r="O299" s="828">
        <v>17</v>
      </c>
      <c r="P299" s="828">
        <v>17</v>
      </c>
      <c r="Q299" s="828">
        <v>17</v>
      </c>
      <c r="R299" s="828">
        <v>16.75</v>
      </c>
      <c r="S299" s="829">
        <v>16.75</v>
      </c>
      <c r="T299" s="828">
        <v>16.75</v>
      </c>
      <c r="U299" s="828">
        <v>16.75</v>
      </c>
      <c r="V299" s="828">
        <v>16.75</v>
      </c>
      <c r="W299" s="828">
        <v>16.75</v>
      </c>
      <c r="X299" s="828">
        <v>16.75</v>
      </c>
      <c r="Y299" s="117">
        <v>16.75</v>
      </c>
      <c r="Z299" s="117">
        <v>17.75</v>
      </c>
      <c r="AA299" s="183">
        <v>17.75</v>
      </c>
      <c r="AB299" s="183">
        <v>17.75</v>
      </c>
      <c r="AC299" s="183">
        <v>17.7</v>
      </c>
      <c r="AD299" s="117"/>
      <c r="AE299" s="117"/>
      <c r="AF299" s="117"/>
      <c r="AG299" s="117"/>
    </row>
    <row r="300" spans="2:33">
      <c r="B300" s="85" t="s">
        <v>93</v>
      </c>
      <c r="C300" s="117">
        <v>18</v>
      </c>
      <c r="D300" s="117">
        <v>17.75</v>
      </c>
      <c r="E300" s="117">
        <v>17.5</v>
      </c>
      <c r="F300" s="117">
        <v>17.5</v>
      </c>
      <c r="G300" s="117">
        <v>17.5</v>
      </c>
      <c r="H300" s="117">
        <v>17.5</v>
      </c>
      <c r="I300" s="117">
        <v>17.5</v>
      </c>
      <c r="J300" s="117">
        <v>17.5</v>
      </c>
      <c r="K300" s="117">
        <v>18</v>
      </c>
      <c r="L300" s="117">
        <v>18</v>
      </c>
      <c r="M300" s="117">
        <v>18</v>
      </c>
      <c r="N300" s="828">
        <v>18.25</v>
      </c>
      <c r="O300" s="828">
        <v>18.25</v>
      </c>
      <c r="P300" s="828">
        <v>18</v>
      </c>
      <c r="Q300" s="828">
        <v>18</v>
      </c>
      <c r="R300" s="828">
        <v>18</v>
      </c>
      <c r="S300" s="829">
        <v>18.5</v>
      </c>
      <c r="T300" s="828">
        <v>18.5</v>
      </c>
      <c r="U300" s="828">
        <v>18.5</v>
      </c>
      <c r="V300" s="828">
        <v>18.5</v>
      </c>
      <c r="W300" s="828">
        <v>18.5</v>
      </c>
      <c r="X300" s="828">
        <v>18.5</v>
      </c>
      <c r="Y300" s="117">
        <v>18.5</v>
      </c>
      <c r="Z300" s="117">
        <v>19</v>
      </c>
      <c r="AA300" s="183">
        <v>19</v>
      </c>
      <c r="AB300" s="183">
        <v>18.5</v>
      </c>
      <c r="AC300" s="183">
        <v>18.5</v>
      </c>
      <c r="AD300" s="117"/>
      <c r="AE300" s="117"/>
      <c r="AF300" s="117"/>
      <c r="AG300" s="117"/>
    </row>
    <row r="301" spans="2:33">
      <c r="B301" s="85" t="s">
        <v>94</v>
      </c>
      <c r="C301" s="117">
        <v>16.75</v>
      </c>
      <c r="D301" s="117">
        <v>16.5</v>
      </c>
      <c r="E301" s="117">
        <v>16.5</v>
      </c>
      <c r="F301" s="117">
        <v>16.5</v>
      </c>
      <c r="G301" s="117">
        <v>16.5</v>
      </c>
      <c r="H301" s="117">
        <v>17</v>
      </c>
      <c r="I301" s="117">
        <v>17</v>
      </c>
      <c r="J301" s="117">
        <v>17.5</v>
      </c>
      <c r="K301" s="117">
        <v>18.25</v>
      </c>
      <c r="L301" s="117">
        <v>18.25</v>
      </c>
      <c r="M301" s="117">
        <v>18.5</v>
      </c>
      <c r="N301" s="828">
        <v>19.5</v>
      </c>
      <c r="O301" s="828">
        <v>19.5</v>
      </c>
      <c r="P301" s="828">
        <v>19.5</v>
      </c>
      <c r="Q301" s="828">
        <v>19.5</v>
      </c>
      <c r="R301" s="828">
        <v>19.5</v>
      </c>
      <c r="S301" s="829">
        <v>19.5</v>
      </c>
      <c r="T301" s="828">
        <v>19.5</v>
      </c>
      <c r="U301" s="828">
        <v>19.5</v>
      </c>
      <c r="V301" s="828">
        <v>19</v>
      </c>
      <c r="W301" s="828">
        <v>19</v>
      </c>
      <c r="X301" s="828">
        <v>18.5</v>
      </c>
      <c r="Y301" s="117">
        <v>18.5</v>
      </c>
      <c r="Z301" s="117">
        <v>19.5</v>
      </c>
      <c r="AA301" s="183">
        <v>19.5</v>
      </c>
      <c r="AB301" s="183">
        <v>19.5</v>
      </c>
      <c r="AC301" s="183">
        <v>19.5</v>
      </c>
      <c r="AD301" s="117"/>
      <c r="AE301" s="117"/>
      <c r="AF301" s="117"/>
      <c r="AG301" s="117"/>
    </row>
    <row r="302" spans="2:33">
      <c r="B302" s="85" t="s">
        <v>95</v>
      </c>
      <c r="C302" s="117">
        <v>16.5</v>
      </c>
      <c r="D302" s="117">
        <v>16.5</v>
      </c>
      <c r="E302" s="117">
        <v>16.5</v>
      </c>
      <c r="F302" s="117">
        <v>16.5</v>
      </c>
      <c r="G302" s="117">
        <v>16.5</v>
      </c>
      <c r="H302" s="117">
        <v>16.5</v>
      </c>
      <c r="I302" s="117">
        <v>16.75</v>
      </c>
      <c r="J302" s="117">
        <v>17</v>
      </c>
      <c r="K302" s="117">
        <v>17</v>
      </c>
      <c r="L302" s="117">
        <v>17</v>
      </c>
      <c r="M302" s="117">
        <v>17</v>
      </c>
      <c r="N302" s="828">
        <v>17</v>
      </c>
      <c r="O302" s="828">
        <v>17</v>
      </c>
      <c r="P302" s="828">
        <v>17.25</v>
      </c>
      <c r="Q302" s="828">
        <v>17.25</v>
      </c>
      <c r="R302" s="828">
        <v>17.25</v>
      </c>
      <c r="S302" s="829">
        <v>17.25</v>
      </c>
      <c r="T302" s="828">
        <v>17.25</v>
      </c>
      <c r="U302" s="828">
        <v>17.25</v>
      </c>
      <c r="V302" s="828">
        <v>17.25</v>
      </c>
      <c r="W302" s="828">
        <v>17.5</v>
      </c>
      <c r="X302" s="828">
        <v>17.5</v>
      </c>
      <c r="Y302" s="117">
        <v>17.5</v>
      </c>
      <c r="Z302" s="117">
        <v>17.5</v>
      </c>
      <c r="AA302" s="183">
        <v>17.5</v>
      </c>
      <c r="AB302" s="183">
        <v>17.5</v>
      </c>
      <c r="AC302" s="183">
        <v>18.5</v>
      </c>
      <c r="AD302" s="117"/>
      <c r="AE302" s="117"/>
      <c r="AF302" s="117"/>
      <c r="AG302" s="117"/>
    </row>
    <row r="303" spans="2:33">
      <c r="B303" s="85" t="s">
        <v>96</v>
      </c>
      <c r="C303" s="117">
        <v>18</v>
      </c>
      <c r="D303" s="117">
        <v>18</v>
      </c>
      <c r="E303" s="117">
        <v>18</v>
      </c>
      <c r="F303" s="117">
        <v>18</v>
      </c>
      <c r="G303" s="117">
        <v>18</v>
      </c>
      <c r="H303" s="117">
        <v>18.5</v>
      </c>
      <c r="I303" s="117">
        <v>18.5</v>
      </c>
      <c r="J303" s="117">
        <v>18.5</v>
      </c>
      <c r="K303" s="117">
        <v>18.5</v>
      </c>
      <c r="L303" s="117">
        <v>18.5</v>
      </c>
      <c r="M303" s="117">
        <v>18.5</v>
      </c>
      <c r="N303" s="828">
        <v>18.5</v>
      </c>
      <c r="O303" s="828">
        <v>18.5</v>
      </c>
      <c r="P303" s="828">
        <v>17.75</v>
      </c>
      <c r="Q303" s="828">
        <v>17.5</v>
      </c>
      <c r="R303" s="828">
        <v>17.5</v>
      </c>
      <c r="S303" s="829">
        <v>17.5</v>
      </c>
      <c r="T303" s="828">
        <v>17.5</v>
      </c>
      <c r="U303" s="828">
        <v>17.5</v>
      </c>
      <c r="V303" s="828">
        <v>17.5</v>
      </c>
      <c r="W303" s="828">
        <v>17.5</v>
      </c>
      <c r="X303" s="828">
        <v>18.5</v>
      </c>
      <c r="Y303" s="117">
        <v>18.5</v>
      </c>
      <c r="Z303" s="117">
        <v>18.5</v>
      </c>
      <c r="AA303" s="183">
        <v>18.5</v>
      </c>
      <c r="AB303" s="183">
        <v>18.5</v>
      </c>
      <c r="AC303" s="183">
        <v>18.5</v>
      </c>
      <c r="AD303" s="117"/>
      <c r="AE303" s="117"/>
      <c r="AF303" s="117"/>
      <c r="AG303" s="117"/>
    </row>
    <row r="304" spans="2:33">
      <c r="B304" s="85" t="s">
        <v>97</v>
      </c>
      <c r="C304" s="117">
        <v>16</v>
      </c>
      <c r="D304" s="117">
        <v>16</v>
      </c>
      <c r="E304" s="117">
        <v>16</v>
      </c>
      <c r="F304" s="117">
        <v>16</v>
      </c>
      <c r="G304" s="117">
        <v>16</v>
      </c>
      <c r="H304" s="117">
        <v>16</v>
      </c>
      <c r="I304" s="117">
        <v>16</v>
      </c>
      <c r="J304" s="117">
        <v>16</v>
      </c>
      <c r="K304" s="117">
        <v>17</v>
      </c>
      <c r="L304" s="117">
        <v>17</v>
      </c>
      <c r="M304" s="117">
        <v>16.5</v>
      </c>
      <c r="N304" s="828">
        <v>16.5</v>
      </c>
      <c r="O304" s="828">
        <v>16.5</v>
      </c>
      <c r="P304" s="828">
        <v>16.5</v>
      </c>
      <c r="Q304" s="828">
        <v>16.5</v>
      </c>
      <c r="R304" s="828">
        <v>16.5</v>
      </c>
      <c r="S304" s="829">
        <v>17.25</v>
      </c>
      <c r="T304" s="828">
        <v>17.25</v>
      </c>
      <c r="U304" s="828">
        <v>17.25</v>
      </c>
      <c r="V304" s="828">
        <v>17.25</v>
      </c>
      <c r="W304" s="828">
        <v>17.25</v>
      </c>
      <c r="X304" s="828">
        <v>17.25</v>
      </c>
      <c r="Y304" s="117">
        <v>17.25</v>
      </c>
      <c r="Z304" s="117">
        <v>18</v>
      </c>
      <c r="AA304" s="183">
        <v>18</v>
      </c>
      <c r="AB304" s="183">
        <v>18</v>
      </c>
      <c r="AC304" s="183">
        <v>18</v>
      </c>
      <c r="AD304" s="117"/>
      <c r="AE304" s="117"/>
      <c r="AF304" s="117"/>
      <c r="AG304" s="117"/>
    </row>
    <row r="305" spans="2:33">
      <c r="B305" s="85" t="s">
        <v>98</v>
      </c>
      <c r="C305" s="117">
        <v>16.5</v>
      </c>
      <c r="D305" s="117">
        <v>16.5</v>
      </c>
      <c r="E305" s="117">
        <v>16.5</v>
      </c>
      <c r="F305" s="117">
        <v>16.5</v>
      </c>
      <c r="G305" s="117">
        <v>16.5</v>
      </c>
      <c r="H305" s="117">
        <v>16.5</v>
      </c>
      <c r="I305" s="117">
        <v>17</v>
      </c>
      <c r="J305" s="117">
        <v>17</v>
      </c>
      <c r="K305" s="117">
        <v>17</v>
      </c>
      <c r="L305" s="117">
        <v>17</v>
      </c>
      <c r="M305" s="117">
        <v>17</v>
      </c>
      <c r="N305" s="828">
        <v>17</v>
      </c>
      <c r="O305" s="828">
        <v>17</v>
      </c>
      <c r="P305" s="828">
        <v>17</v>
      </c>
      <c r="Q305" s="828">
        <v>17</v>
      </c>
      <c r="R305" s="828">
        <v>17</v>
      </c>
      <c r="S305" s="829">
        <v>17</v>
      </c>
      <c r="T305" s="828">
        <v>17</v>
      </c>
      <c r="U305" s="828">
        <v>17</v>
      </c>
      <c r="V305" s="828">
        <v>16.5</v>
      </c>
      <c r="W305" s="828">
        <v>16.5</v>
      </c>
      <c r="X305" s="828">
        <v>16.5</v>
      </c>
      <c r="Y305" s="117">
        <v>16.5</v>
      </c>
      <c r="Z305" s="117">
        <v>16.5</v>
      </c>
      <c r="AA305" s="183">
        <v>16.5</v>
      </c>
      <c r="AB305" s="183">
        <v>16.5</v>
      </c>
      <c r="AC305" s="183">
        <v>16.5</v>
      </c>
      <c r="AD305" s="117"/>
      <c r="AE305" s="117"/>
      <c r="AF305" s="117"/>
      <c r="AG305" s="117"/>
    </row>
    <row r="306" spans="2:33">
      <c r="B306" s="85" t="s">
        <v>99</v>
      </c>
      <c r="C306" s="117">
        <v>18.5</v>
      </c>
      <c r="D306" s="117">
        <v>18.5</v>
      </c>
      <c r="E306" s="117">
        <v>18.5</v>
      </c>
      <c r="F306" s="117">
        <v>18.5</v>
      </c>
      <c r="G306" s="117">
        <v>18.5</v>
      </c>
      <c r="H306" s="117">
        <v>18.5</v>
      </c>
      <c r="I306" s="117">
        <v>18.5</v>
      </c>
      <c r="J306" s="117">
        <v>18.5</v>
      </c>
      <c r="K306" s="117">
        <v>18.5</v>
      </c>
      <c r="L306" s="117">
        <v>18.5</v>
      </c>
      <c r="M306" s="117">
        <v>18.5</v>
      </c>
      <c r="N306" s="828">
        <v>18.5</v>
      </c>
      <c r="O306" s="828">
        <v>18.5</v>
      </c>
      <c r="P306" s="828">
        <v>18.5</v>
      </c>
      <c r="Q306" s="828">
        <v>18.5</v>
      </c>
      <c r="R306" s="828">
        <v>18.5</v>
      </c>
      <c r="S306" s="829">
        <v>18.5</v>
      </c>
      <c r="T306" s="828">
        <v>18.5</v>
      </c>
      <c r="U306" s="828">
        <v>19</v>
      </c>
      <c r="V306" s="828">
        <v>19</v>
      </c>
      <c r="W306" s="828">
        <v>19</v>
      </c>
      <c r="X306" s="828">
        <v>18.5</v>
      </c>
      <c r="Y306" s="117">
        <v>18.5</v>
      </c>
      <c r="Z306" s="117">
        <v>18.5</v>
      </c>
      <c r="AA306" s="183">
        <v>18.5</v>
      </c>
      <c r="AB306" s="183">
        <v>18.5</v>
      </c>
      <c r="AC306" s="183">
        <v>19</v>
      </c>
      <c r="AD306" s="117"/>
      <c r="AE306" s="117"/>
      <c r="AF306" s="117"/>
      <c r="AG306" s="117"/>
    </row>
    <row r="307" spans="2:33">
      <c r="B307" s="85" t="s">
        <v>100</v>
      </c>
      <c r="C307" s="117">
        <v>17.5</v>
      </c>
      <c r="D307" s="117">
        <v>17.5</v>
      </c>
      <c r="E307" s="117">
        <v>17.5</v>
      </c>
      <c r="F307" s="117">
        <v>17.5</v>
      </c>
      <c r="G307" s="117">
        <v>17.5</v>
      </c>
      <c r="H307" s="117">
        <v>18.5</v>
      </c>
      <c r="I307" s="117">
        <v>18.5</v>
      </c>
      <c r="J307" s="117">
        <v>18.5</v>
      </c>
      <c r="K307" s="117">
        <v>18.5</v>
      </c>
      <c r="L307" s="117">
        <v>18.5</v>
      </c>
      <c r="M307" s="117">
        <v>18.5</v>
      </c>
      <c r="N307" s="828">
        <v>18.5</v>
      </c>
      <c r="O307" s="828">
        <v>18.5</v>
      </c>
      <c r="P307" s="828">
        <v>18.5</v>
      </c>
      <c r="Q307" s="828">
        <v>19.5</v>
      </c>
      <c r="R307" s="828">
        <v>19.5</v>
      </c>
      <c r="S307" s="829">
        <v>19.75</v>
      </c>
      <c r="T307" s="828">
        <v>19.75</v>
      </c>
      <c r="U307" s="828">
        <v>19.75</v>
      </c>
      <c r="V307" s="828">
        <v>19.75</v>
      </c>
      <c r="W307" s="828">
        <v>19.75</v>
      </c>
      <c r="X307" s="828">
        <v>19.75</v>
      </c>
      <c r="Y307" s="117">
        <v>19.75</v>
      </c>
      <c r="Z307" s="117">
        <v>19.75</v>
      </c>
      <c r="AA307" s="183">
        <v>19.75</v>
      </c>
      <c r="AB307" s="183">
        <v>19.75</v>
      </c>
      <c r="AC307" s="183">
        <v>19.7</v>
      </c>
      <c r="AD307" s="117"/>
      <c r="AE307" s="117"/>
      <c r="AF307" s="117"/>
      <c r="AG307" s="117"/>
    </row>
    <row r="308" spans="2:33">
      <c r="B308" s="85" t="s">
        <v>101</v>
      </c>
      <c r="C308" s="117">
        <v>16.5</v>
      </c>
      <c r="D308" s="117">
        <v>16.5</v>
      </c>
      <c r="E308" s="117">
        <v>16.5</v>
      </c>
      <c r="F308" s="117">
        <v>17</v>
      </c>
      <c r="G308" s="117">
        <v>17</v>
      </c>
      <c r="H308" s="117">
        <v>17</v>
      </c>
      <c r="I308" s="117">
        <v>17</v>
      </c>
      <c r="J308" s="117">
        <v>17</v>
      </c>
      <c r="K308" s="117">
        <v>17</v>
      </c>
      <c r="L308" s="117">
        <v>17</v>
      </c>
      <c r="M308" s="117">
        <v>17</v>
      </c>
      <c r="N308" s="828">
        <v>16.5</v>
      </c>
      <c r="O308" s="828">
        <v>16.5</v>
      </c>
      <c r="P308" s="828">
        <v>16.5</v>
      </c>
      <c r="Q308" s="828">
        <v>16.25</v>
      </c>
      <c r="R308" s="828">
        <v>16.25</v>
      </c>
      <c r="S308" s="829">
        <v>16.75</v>
      </c>
      <c r="T308" s="828">
        <v>16.75</v>
      </c>
      <c r="U308" s="828">
        <v>16.75</v>
      </c>
      <c r="V308" s="828">
        <v>16.75</v>
      </c>
      <c r="W308" s="828">
        <v>16.75</v>
      </c>
      <c r="X308" s="828">
        <v>16.75</v>
      </c>
      <c r="Y308" s="117">
        <v>17</v>
      </c>
      <c r="Z308" s="117">
        <v>17</v>
      </c>
      <c r="AA308" s="183">
        <v>17.5</v>
      </c>
      <c r="AB308" s="183">
        <v>17.5</v>
      </c>
      <c r="AC308" s="183">
        <v>17.5</v>
      </c>
      <c r="AD308" s="117"/>
      <c r="AE308" s="117"/>
      <c r="AF308" s="117"/>
      <c r="AG308" s="117"/>
    </row>
    <row r="309" spans="2:33">
      <c r="B309" s="85" t="s">
        <v>102</v>
      </c>
      <c r="C309" s="117">
        <v>18.5</v>
      </c>
      <c r="D309" s="117">
        <v>18.5</v>
      </c>
      <c r="E309" s="117">
        <v>18.5</v>
      </c>
      <c r="F309" s="117">
        <v>18.5</v>
      </c>
      <c r="G309" s="117">
        <v>18.5</v>
      </c>
      <c r="H309" s="117">
        <v>18.5</v>
      </c>
      <c r="I309" s="117">
        <v>18.5</v>
      </c>
      <c r="J309" s="117">
        <v>18.5</v>
      </c>
      <c r="K309" s="117">
        <v>18.5</v>
      </c>
      <c r="L309" s="117">
        <v>18.5</v>
      </c>
      <c r="M309" s="117">
        <v>18.5</v>
      </c>
      <c r="N309" s="828">
        <v>18.5</v>
      </c>
      <c r="O309" s="828">
        <v>18.5</v>
      </c>
      <c r="P309" s="828">
        <v>18.5</v>
      </c>
      <c r="Q309" s="828">
        <v>18.5</v>
      </c>
      <c r="R309" s="828">
        <v>18.5</v>
      </c>
      <c r="S309" s="829">
        <v>19.5</v>
      </c>
      <c r="T309" s="828">
        <v>19.5</v>
      </c>
      <c r="U309" s="828">
        <v>19.5</v>
      </c>
      <c r="V309" s="828">
        <v>19.5</v>
      </c>
      <c r="W309" s="828">
        <v>19.5</v>
      </c>
      <c r="X309" s="828">
        <v>19.5</v>
      </c>
      <c r="Y309" s="117">
        <v>19.5</v>
      </c>
      <c r="Z309" s="117">
        <v>19.5</v>
      </c>
      <c r="AA309" s="183">
        <v>19.5</v>
      </c>
      <c r="AB309" s="183">
        <v>19.5</v>
      </c>
      <c r="AC309" s="183">
        <v>19.5</v>
      </c>
      <c r="AD309" s="117"/>
      <c r="AE309" s="117"/>
      <c r="AF309" s="117"/>
      <c r="AG309" s="117"/>
    </row>
    <row r="310" spans="2:33">
      <c r="B310" s="85" t="s">
        <v>103</v>
      </c>
      <c r="C310" s="117">
        <v>16.75</v>
      </c>
      <c r="D310" s="117">
        <v>16.75</v>
      </c>
      <c r="E310" s="117">
        <v>16.75</v>
      </c>
      <c r="F310" s="117">
        <v>17</v>
      </c>
      <c r="G310" s="117">
        <v>17</v>
      </c>
      <c r="H310" s="117">
        <v>17</v>
      </c>
      <c r="I310" s="117">
        <v>17</v>
      </c>
      <c r="J310" s="117">
        <v>17.25</v>
      </c>
      <c r="K310" s="117">
        <v>17.5</v>
      </c>
      <c r="L310" s="117">
        <v>17</v>
      </c>
      <c r="M310" s="117">
        <v>16.75</v>
      </c>
      <c r="N310" s="828">
        <v>16.5</v>
      </c>
      <c r="O310" s="828">
        <v>16.25</v>
      </c>
      <c r="P310" s="828">
        <v>16.25</v>
      </c>
      <c r="Q310" s="828">
        <v>16.25</v>
      </c>
      <c r="R310" s="828">
        <v>16.25</v>
      </c>
      <c r="S310" s="829">
        <v>16.75</v>
      </c>
      <c r="T310" s="828">
        <v>16.75</v>
      </c>
      <c r="U310" s="828">
        <v>16.75</v>
      </c>
      <c r="V310" s="828">
        <v>16.75</v>
      </c>
      <c r="W310" s="828">
        <v>17</v>
      </c>
      <c r="X310" s="828">
        <v>17.25</v>
      </c>
      <c r="Y310" s="117">
        <v>18</v>
      </c>
      <c r="Z310" s="117">
        <v>18.5</v>
      </c>
      <c r="AA310" s="183">
        <v>18.5</v>
      </c>
      <c r="AB310" s="183">
        <v>18.25</v>
      </c>
      <c r="AC310" s="183">
        <v>18.5</v>
      </c>
      <c r="AD310" s="117"/>
      <c r="AE310" s="117"/>
      <c r="AF310" s="117"/>
      <c r="AG310" s="117"/>
    </row>
    <row r="311" spans="2:33">
      <c r="B311" s="85" t="s">
        <v>104</v>
      </c>
      <c r="C311" s="117">
        <v>17.5</v>
      </c>
      <c r="D311" s="117">
        <v>17.5</v>
      </c>
      <c r="E311" s="117">
        <v>17</v>
      </c>
      <c r="F311" s="117">
        <v>17</v>
      </c>
      <c r="G311" s="117">
        <v>17</v>
      </c>
      <c r="H311" s="117">
        <v>17.5</v>
      </c>
      <c r="I311" s="117">
        <v>17.5</v>
      </c>
      <c r="J311" s="117">
        <v>17.5</v>
      </c>
      <c r="K311" s="117">
        <v>17.5</v>
      </c>
      <c r="L311" s="117">
        <v>17.5</v>
      </c>
      <c r="M311" s="117">
        <v>17.5</v>
      </c>
      <c r="N311" s="828">
        <v>17.5</v>
      </c>
      <c r="O311" s="828">
        <v>17.5</v>
      </c>
      <c r="P311" s="828">
        <v>18</v>
      </c>
      <c r="Q311" s="828">
        <v>18</v>
      </c>
      <c r="R311" s="828">
        <v>18</v>
      </c>
      <c r="S311" s="829">
        <v>18</v>
      </c>
      <c r="T311" s="828">
        <v>18</v>
      </c>
      <c r="U311" s="828">
        <v>18</v>
      </c>
      <c r="V311" s="828">
        <v>18</v>
      </c>
      <c r="W311" s="828">
        <v>18</v>
      </c>
      <c r="X311" s="828">
        <v>18</v>
      </c>
      <c r="Y311" s="117">
        <v>18</v>
      </c>
      <c r="Z311" s="117">
        <v>18</v>
      </c>
      <c r="AA311" s="183">
        <v>18</v>
      </c>
      <c r="AB311" s="183">
        <v>18</v>
      </c>
      <c r="AC311" s="183">
        <v>18</v>
      </c>
      <c r="AD311" s="117"/>
      <c r="AE311" s="117"/>
      <c r="AF311" s="117"/>
      <c r="AG311" s="117"/>
    </row>
    <row r="312" spans="2:33">
      <c r="B312" s="85" t="s">
        <v>105</v>
      </c>
      <c r="C312" s="117">
        <v>18.75</v>
      </c>
      <c r="D312" s="117">
        <v>18.75</v>
      </c>
      <c r="E312" s="117">
        <v>18</v>
      </c>
      <c r="F312" s="117">
        <v>18</v>
      </c>
      <c r="G312" s="117">
        <v>18</v>
      </c>
      <c r="H312" s="117">
        <v>18.5</v>
      </c>
      <c r="I312" s="117">
        <v>18.5</v>
      </c>
      <c r="J312" s="117">
        <v>18.5</v>
      </c>
      <c r="K312" s="117">
        <v>18.5</v>
      </c>
      <c r="L312" s="117">
        <v>18.5</v>
      </c>
      <c r="M312" s="117">
        <v>18.5</v>
      </c>
      <c r="N312" s="828">
        <v>18.5</v>
      </c>
      <c r="O312" s="828">
        <v>18.5</v>
      </c>
      <c r="P312" s="828">
        <v>18.5</v>
      </c>
      <c r="Q312" s="828">
        <v>19</v>
      </c>
      <c r="R312" s="828">
        <v>19</v>
      </c>
      <c r="S312" s="829">
        <v>19.5</v>
      </c>
      <c r="T312" s="828">
        <v>19.5</v>
      </c>
      <c r="U312" s="828">
        <v>19.5</v>
      </c>
      <c r="V312" s="828">
        <v>19.5</v>
      </c>
      <c r="W312" s="828">
        <v>19.5</v>
      </c>
      <c r="X312" s="828">
        <v>19.5</v>
      </c>
      <c r="Y312" s="117">
        <v>19.5</v>
      </c>
      <c r="Z312" s="117">
        <v>19.5</v>
      </c>
      <c r="AA312" s="183">
        <v>19.5</v>
      </c>
      <c r="AB312" s="183">
        <v>19.5</v>
      </c>
      <c r="AC312" s="183">
        <v>19</v>
      </c>
      <c r="AD312" s="117"/>
      <c r="AE312" s="117"/>
      <c r="AF312" s="117"/>
      <c r="AG312" s="117"/>
    </row>
    <row r="313" spans="2:33">
      <c r="B313" s="85" t="s">
        <v>106</v>
      </c>
      <c r="C313" s="117">
        <v>18</v>
      </c>
      <c r="D313" s="117">
        <v>18</v>
      </c>
      <c r="E313" s="117">
        <v>17</v>
      </c>
      <c r="F313" s="117">
        <v>17</v>
      </c>
      <c r="G313" s="117">
        <v>17</v>
      </c>
      <c r="H313" s="117">
        <v>17</v>
      </c>
      <c r="I313" s="117">
        <v>17.5</v>
      </c>
      <c r="J313" s="117">
        <v>17.5</v>
      </c>
      <c r="K313" s="117">
        <v>17.5</v>
      </c>
      <c r="L313" s="117">
        <v>17.5</v>
      </c>
      <c r="M313" s="117">
        <v>17.5</v>
      </c>
      <c r="N313" s="828">
        <v>17.5</v>
      </c>
      <c r="O313" s="828">
        <v>17.5</v>
      </c>
      <c r="P313" s="828">
        <v>17.5</v>
      </c>
      <c r="Q313" s="828">
        <v>18</v>
      </c>
      <c r="R313" s="828">
        <v>18</v>
      </c>
      <c r="S313" s="829">
        <v>18.5</v>
      </c>
      <c r="T313" s="828">
        <v>18.5</v>
      </c>
      <c r="U313" s="828">
        <v>19</v>
      </c>
      <c r="V313" s="828">
        <v>19</v>
      </c>
      <c r="W313" s="828">
        <v>19</v>
      </c>
      <c r="X313" s="828">
        <v>19</v>
      </c>
      <c r="Y313" s="117">
        <v>19</v>
      </c>
      <c r="Z313" s="117">
        <v>19</v>
      </c>
      <c r="AA313" s="183">
        <v>19</v>
      </c>
      <c r="AB313" s="183">
        <v>19</v>
      </c>
      <c r="AC313" s="183">
        <v>19</v>
      </c>
      <c r="AD313" s="117"/>
      <c r="AE313" s="117"/>
      <c r="AF313" s="117"/>
      <c r="AG313" s="117"/>
    </row>
    <row r="314" spans="2:33">
      <c r="B314" s="85" t="s">
        <v>107</v>
      </c>
      <c r="C314" s="117">
        <v>16</v>
      </c>
      <c r="D314" s="117">
        <v>16</v>
      </c>
      <c r="E314" s="117">
        <v>16</v>
      </c>
      <c r="F314" s="117">
        <v>16</v>
      </c>
      <c r="G314" s="117">
        <v>16</v>
      </c>
      <c r="H314" s="117">
        <v>16</v>
      </c>
      <c r="I314" s="117">
        <v>16</v>
      </c>
      <c r="J314" s="117">
        <v>16</v>
      </c>
      <c r="K314" s="117">
        <v>16</v>
      </c>
      <c r="L314" s="117">
        <v>16</v>
      </c>
      <c r="M314" s="117">
        <v>16</v>
      </c>
      <c r="N314" s="828">
        <v>16.5</v>
      </c>
      <c r="O314" s="828">
        <v>16.5</v>
      </c>
      <c r="P314" s="828">
        <v>16.5</v>
      </c>
      <c r="Q314" s="828">
        <v>16.5</v>
      </c>
      <c r="R314" s="828">
        <v>16.5</v>
      </c>
      <c r="S314" s="829">
        <v>17.25</v>
      </c>
      <c r="T314" s="828">
        <v>17.75</v>
      </c>
      <c r="U314" s="828">
        <v>17.75</v>
      </c>
      <c r="V314" s="828">
        <v>17.75</v>
      </c>
      <c r="W314" s="828">
        <v>17.5</v>
      </c>
      <c r="X314" s="828">
        <v>17.25</v>
      </c>
      <c r="Y314" s="117">
        <v>17.25</v>
      </c>
      <c r="Z314" s="117">
        <v>17.25</v>
      </c>
      <c r="AA314" s="183">
        <v>17</v>
      </c>
      <c r="AB314" s="183">
        <v>17</v>
      </c>
      <c r="AC314" s="183">
        <v>17</v>
      </c>
      <c r="AD314" s="117"/>
      <c r="AE314" s="117"/>
      <c r="AF314" s="117"/>
      <c r="AG314" s="117"/>
    </row>
    <row r="315" spans="2:33">
      <c r="B315" s="85" t="s">
        <v>376</v>
      </c>
      <c r="C315" s="117">
        <v>16.92861316582621</v>
      </c>
      <c r="D315" s="117">
        <v>16.877523095040171</v>
      </c>
      <c r="E315" s="117">
        <v>16.794440619044678</v>
      </c>
      <c r="F315" s="117">
        <v>16.905586628118996</v>
      </c>
      <c r="G315" s="117">
        <v>16.906224747232237</v>
      </c>
      <c r="H315" s="117">
        <v>17.049404505016259</v>
      </c>
      <c r="I315" s="117">
        <v>17.186867254223664</v>
      </c>
      <c r="J315" s="117">
        <v>17.296537210806481</v>
      </c>
      <c r="K315" s="117">
        <v>17.566572038423331</v>
      </c>
      <c r="L315" s="117">
        <v>17.508543413533154</v>
      </c>
      <c r="M315" s="117">
        <v>17.442911374493757</v>
      </c>
      <c r="N315" s="828">
        <v>17.519558108292063</v>
      </c>
      <c r="O315" s="828">
        <v>17.489999999999998</v>
      </c>
      <c r="P315" s="828">
        <v>17.46</v>
      </c>
      <c r="Q315" s="828">
        <v>17.47</v>
      </c>
      <c r="R315" s="828">
        <v>17.455446549521589</v>
      </c>
      <c r="S315" s="829">
        <v>17.71</v>
      </c>
      <c r="T315" s="828">
        <v>17.694624260000001</v>
      </c>
      <c r="U315" s="828">
        <v>17.705140362695765</v>
      </c>
      <c r="V315" s="828">
        <v>17.488200507878037</v>
      </c>
      <c r="W315" s="828">
        <v>17.509875773556587</v>
      </c>
      <c r="X315" s="828">
        <v>17.468895777931937</v>
      </c>
      <c r="Y315" s="117">
        <v>17.555360863780759</v>
      </c>
      <c r="Z315" s="117">
        <v>17.837493624858496</v>
      </c>
      <c r="AA315" s="183">
        <v>17.891131037700397</v>
      </c>
      <c r="AB315" s="183">
        <v>17.845403232352869</v>
      </c>
      <c r="AC315" s="183">
        <v>17.87253844601992</v>
      </c>
      <c r="AD315" s="117"/>
      <c r="AE315" s="117"/>
      <c r="AF315" s="830"/>
      <c r="AG315" s="830"/>
    </row>
    <row r="316" spans="2:33">
      <c r="B316" s="85" t="s">
        <v>377</v>
      </c>
      <c r="C316" s="117">
        <v>16.870129636510612</v>
      </c>
      <c r="D316" s="117">
        <v>16.809301471354814</v>
      </c>
      <c r="E316" s="117">
        <v>16.743984472727181</v>
      </c>
      <c r="F316" s="117">
        <v>16.837561154942779</v>
      </c>
      <c r="G316" s="117">
        <v>16.841974329790286</v>
      </c>
      <c r="H316" s="117">
        <v>16.984220755651826</v>
      </c>
      <c r="I316" s="117">
        <v>17.122941313092106</v>
      </c>
      <c r="J316" s="117">
        <v>17.240237322462672</v>
      </c>
      <c r="K316" s="117">
        <v>17.535965842231271</v>
      </c>
      <c r="L316" s="117">
        <v>17.465671293459419</v>
      </c>
      <c r="M316" s="117">
        <v>17.427408957959546</v>
      </c>
      <c r="N316" s="828">
        <v>17.516826386690674</v>
      </c>
      <c r="O316" s="828">
        <v>17.48</v>
      </c>
      <c r="P316" s="828">
        <v>17.43</v>
      </c>
      <c r="Q316" s="828">
        <v>17.420000000000002</v>
      </c>
      <c r="R316" s="828">
        <v>17.416038905179551</v>
      </c>
      <c r="S316" s="829">
        <v>17.690000000000001</v>
      </c>
      <c r="T316" s="828">
        <v>17.671864729999999</v>
      </c>
      <c r="U316" s="828">
        <v>17.662277858610739</v>
      </c>
      <c r="V316" s="828">
        <v>17.415415564693014</v>
      </c>
      <c r="W316" s="828">
        <v>17.435041745391157</v>
      </c>
      <c r="X316" s="828">
        <v>17.397103391653513</v>
      </c>
      <c r="Y316" s="117">
        <v>17.499730697279571</v>
      </c>
      <c r="Z316" s="117">
        <v>17.782641390644869</v>
      </c>
      <c r="AA316" s="183">
        <v>17.847397257727074</v>
      </c>
      <c r="AB316" s="183">
        <v>17.796229244372714</v>
      </c>
      <c r="AC316" s="183">
        <v>17.792746625133223</v>
      </c>
      <c r="AD316" s="117"/>
      <c r="AE316" s="117"/>
      <c r="AF316" s="830"/>
      <c r="AG316" s="830"/>
    </row>
    <row r="317" spans="2:33">
      <c r="B317" s="85" t="s">
        <v>378</v>
      </c>
      <c r="C317" s="117">
        <v>17.266453420657445</v>
      </c>
      <c r="D317" s="117">
        <v>17.277721287949191</v>
      </c>
      <c r="E317" s="117">
        <v>17.091608940267804</v>
      </c>
      <c r="F317" s="117">
        <v>17.304560491694961</v>
      </c>
      <c r="G317" s="117">
        <v>17.300296977139414</v>
      </c>
      <c r="H317" s="117">
        <v>17.450263254768316</v>
      </c>
      <c r="I317" s="117">
        <v>17.584191918377137</v>
      </c>
      <c r="J317" s="117">
        <v>17.651722137619984</v>
      </c>
      <c r="K317" s="117">
        <v>17.757507575095453</v>
      </c>
      <c r="L317" s="117">
        <v>17.771860128381807</v>
      </c>
      <c r="M317" s="117">
        <v>17.540783578376985</v>
      </c>
      <c r="N317" s="828">
        <v>17.537590990639607</v>
      </c>
      <c r="O317" s="828">
        <v>17.55</v>
      </c>
      <c r="P317" s="828">
        <v>17.63</v>
      </c>
      <c r="Q317" s="828">
        <v>17.809999999999999</v>
      </c>
      <c r="R317" s="828">
        <v>17.748428474334965</v>
      </c>
      <c r="S317" s="829">
        <v>17.88</v>
      </c>
      <c r="T317" s="828">
        <v>17.872101969999999</v>
      </c>
      <c r="U317" s="828">
        <v>18.040906596340292</v>
      </c>
      <c r="V317" s="828">
        <v>18.065042204818592</v>
      </c>
      <c r="W317" s="828">
        <v>18.112850556807267</v>
      </c>
      <c r="X317" s="828">
        <v>18.048907996347719</v>
      </c>
      <c r="Y317" s="117">
        <v>18.007750046260625</v>
      </c>
      <c r="Z317" s="117">
        <v>18.275572108082184</v>
      </c>
      <c r="AA317" s="183">
        <v>18.258736426174817</v>
      </c>
      <c r="AB317" s="183">
        <v>18.258736426174817</v>
      </c>
      <c r="AC317" s="183">
        <v>18.543230605079259</v>
      </c>
      <c r="AD317" s="117"/>
      <c r="AE317" s="117"/>
      <c r="AF317" s="830"/>
      <c r="AG317" s="830"/>
    </row>
    <row r="318" spans="2:33" ht="15.75" thickBot="1">
      <c r="B318" s="553" t="s">
        <v>108</v>
      </c>
      <c r="C318" s="831">
        <v>16.488786909910566</v>
      </c>
      <c r="D318" s="831">
        <v>16.46138603308594</v>
      </c>
      <c r="E318" s="831">
        <v>16.422636909676751</v>
      </c>
      <c r="F318" s="831">
        <v>16.481131758030021</v>
      </c>
      <c r="G318" s="831">
        <v>16.480018393199654</v>
      </c>
      <c r="H318" s="831">
        <v>16.562301984889462</v>
      </c>
      <c r="I318" s="831">
        <v>16.635221058300111</v>
      </c>
      <c r="J318" s="831">
        <v>16.691771669588999</v>
      </c>
      <c r="K318" s="831">
        <v>16.839161121538613</v>
      </c>
      <c r="L318" s="831">
        <v>16.807932304608453</v>
      </c>
      <c r="M318" s="831">
        <v>16.783858188705608</v>
      </c>
      <c r="N318" s="832">
        <v>17.0518530729804</v>
      </c>
      <c r="O318" s="832">
        <v>17.037808667410477</v>
      </c>
      <c r="P318" s="832">
        <v>17.02964471081135</v>
      </c>
      <c r="Q318" s="832">
        <v>17.03</v>
      </c>
      <c r="R318" s="832">
        <v>17.030243232124764</v>
      </c>
      <c r="S318" s="833">
        <v>17.510000000000002</v>
      </c>
      <c r="T318" s="833">
        <v>17.719042869999999</v>
      </c>
      <c r="U318" s="832">
        <v>17.724811839527728</v>
      </c>
      <c r="V318" s="832">
        <v>17.603000827995199</v>
      </c>
      <c r="W318" s="834">
        <v>17.50554895682788</v>
      </c>
      <c r="X318" s="834">
        <v>17.373595220998947</v>
      </c>
      <c r="Y318" s="834">
        <v>17.424745951586733</v>
      </c>
      <c r="Z318" s="835">
        <v>17.587524316776737</v>
      </c>
      <c r="AA318" s="836">
        <v>17.513489306275627</v>
      </c>
      <c r="AB318" s="836">
        <v>17.487139938952499</v>
      </c>
      <c r="AC318" s="836">
        <v>17.502775845965111</v>
      </c>
      <c r="AD318" s="117"/>
      <c r="AE318" s="117"/>
      <c r="AF318" s="830">
        <v>0.17513489306275626</v>
      </c>
      <c r="AG318" s="830"/>
    </row>
    <row r="319" spans="2:33">
      <c r="B319" s="555" t="s">
        <v>379</v>
      </c>
      <c r="C319" s="85"/>
      <c r="D319" s="85"/>
      <c r="E319" s="85"/>
      <c r="F319" s="85"/>
      <c r="G319" s="85"/>
      <c r="H319" s="85"/>
      <c r="I319" s="85"/>
      <c r="J319" s="85"/>
      <c r="K319" s="85"/>
      <c r="L319" s="85"/>
      <c r="M319" s="85"/>
      <c r="N319" s="85"/>
      <c r="O319" s="85"/>
      <c r="P319" s="85"/>
      <c r="Q319" s="85"/>
      <c r="R319" s="85"/>
      <c r="S319" s="85"/>
      <c r="T319" s="85"/>
      <c r="U319" s="85"/>
      <c r="V319" s="85"/>
      <c r="W319" s="85"/>
      <c r="X319" s="85"/>
      <c r="Y319" s="85"/>
      <c r="Z319" s="85"/>
      <c r="AA319" s="85"/>
      <c r="AB319" s="85"/>
      <c r="AC319" s="85"/>
      <c r="AD319" s="85"/>
      <c r="AE319" s="85"/>
      <c r="AF319" s="85"/>
      <c r="AG319" s="85"/>
    </row>
    <row r="320" spans="2:33">
      <c r="B320" s="555" t="s">
        <v>628</v>
      </c>
      <c r="C320" s="85"/>
      <c r="D320" s="85"/>
      <c r="E320" s="85"/>
      <c r="F320" s="85"/>
      <c r="G320" s="85"/>
      <c r="H320" s="85"/>
      <c r="I320" s="85"/>
      <c r="J320" s="85"/>
      <c r="K320" s="85"/>
      <c r="L320" s="85"/>
      <c r="M320" s="85"/>
      <c r="N320" s="85"/>
      <c r="O320" s="85"/>
      <c r="P320" s="85"/>
      <c r="Q320" s="85"/>
      <c r="R320" s="85"/>
      <c r="S320" s="85"/>
      <c r="T320" s="85"/>
      <c r="U320" s="85"/>
      <c r="V320" s="85"/>
      <c r="W320" s="85"/>
      <c r="X320" s="85"/>
      <c r="Y320" s="85"/>
      <c r="Z320" s="85"/>
      <c r="AA320" s="85"/>
      <c r="AB320" s="85"/>
      <c r="AC320" s="85"/>
      <c r="AD320" s="85"/>
      <c r="AE320" s="85"/>
      <c r="AF320" s="85"/>
      <c r="AG320" s="85"/>
    </row>
    <row r="321" spans="2:33">
      <c r="B321" s="555" t="s">
        <v>380</v>
      </c>
      <c r="C321" s="85"/>
      <c r="D321" s="85"/>
      <c r="E321" s="85"/>
      <c r="F321" s="85"/>
      <c r="G321" s="85"/>
      <c r="H321" s="85"/>
      <c r="I321" s="85"/>
      <c r="J321" s="85"/>
      <c r="K321" s="85"/>
      <c r="L321" s="85"/>
      <c r="M321" s="85"/>
      <c r="N321" s="85"/>
      <c r="O321" s="85"/>
      <c r="P321" s="85"/>
      <c r="Q321" s="85"/>
      <c r="R321" s="85"/>
      <c r="S321" s="85"/>
      <c r="T321" s="85"/>
      <c r="U321" s="85"/>
      <c r="V321" s="85"/>
      <c r="W321" s="85"/>
      <c r="X321" s="85"/>
      <c r="Y321" s="85"/>
      <c r="Z321" s="85"/>
      <c r="AA321" s="85"/>
      <c r="AB321" s="85"/>
      <c r="AC321" s="85"/>
      <c r="AD321" s="85"/>
      <c r="AE321" s="85"/>
      <c r="AF321" s="85"/>
      <c r="AG321" s="85"/>
    </row>
    <row r="322" spans="2:33">
      <c r="B322" s="555" t="s">
        <v>623</v>
      </c>
      <c r="C322" s="85"/>
      <c r="D322" s="85"/>
      <c r="E322" s="85"/>
      <c r="F322" s="85"/>
      <c r="G322" s="85"/>
      <c r="H322" s="85"/>
      <c r="I322" s="85"/>
      <c r="J322" s="85"/>
      <c r="K322" s="85"/>
      <c r="L322" s="85"/>
      <c r="M322" s="85"/>
      <c r="N322" s="85"/>
      <c r="O322" s="85"/>
      <c r="P322" s="85"/>
      <c r="Q322" s="85"/>
      <c r="R322" s="85"/>
      <c r="S322" s="85"/>
      <c r="T322" s="85"/>
      <c r="U322" s="85"/>
      <c r="V322" s="85"/>
      <c r="W322" s="85"/>
      <c r="X322" s="85"/>
      <c r="Y322" s="85"/>
      <c r="Z322" s="85"/>
      <c r="AA322" s="85"/>
      <c r="AB322" s="85"/>
      <c r="AC322" s="85"/>
      <c r="AD322" s="85"/>
      <c r="AE322" s="85"/>
      <c r="AF322" s="85"/>
      <c r="AG322" s="85"/>
    </row>
    <row r="323" spans="2:33">
      <c r="B323" s="85"/>
      <c r="C323" s="85"/>
      <c r="D323" s="85"/>
      <c r="E323" s="85"/>
      <c r="F323" s="85"/>
      <c r="G323" s="85"/>
      <c r="H323" s="85"/>
      <c r="I323" s="85"/>
      <c r="J323" s="85"/>
      <c r="K323" s="85"/>
      <c r="L323" s="85"/>
      <c r="M323" s="85"/>
      <c r="N323" s="85"/>
      <c r="O323" s="85"/>
      <c r="P323" s="85"/>
      <c r="Q323" s="85"/>
      <c r="R323" s="85"/>
      <c r="S323" s="85"/>
      <c r="T323" s="85"/>
      <c r="U323" s="85"/>
      <c r="V323" s="85"/>
      <c r="W323" s="85"/>
      <c r="X323" s="85"/>
      <c r="Y323" s="85"/>
      <c r="Z323" s="85"/>
      <c r="AA323" s="85"/>
      <c r="AB323" s="85"/>
      <c r="AC323" s="85"/>
      <c r="AD323" s="85"/>
      <c r="AE323" s="85"/>
      <c r="AF323" s="85"/>
      <c r="AG323" s="85"/>
    </row>
  </sheetData>
  <sortState xmlns:xlrd2="http://schemas.microsoft.com/office/spreadsheetml/2017/richdata2" ref="K92:L109">
    <sortCondition ref="L93:L109"/>
  </sortState>
  <mergeCells count="9">
    <mergeCell ref="D270:E270"/>
    <mergeCell ref="G270:H270"/>
    <mergeCell ref="J270:K270"/>
    <mergeCell ref="M270:N270"/>
    <mergeCell ref="B261:C261"/>
    <mergeCell ref="D261:E261"/>
    <mergeCell ref="F261:G261"/>
    <mergeCell ref="D269:E269"/>
    <mergeCell ref="G269:N269"/>
  </mergeCells>
  <phoneticPr fontId="97" type="noConversion"/>
  <hyperlinks>
    <hyperlink ref="A26" r:id="rId1" xr:uid="{00000000-0004-0000-0900-000000000000}"/>
    <hyperlink ref="A47" r:id="rId2" xr:uid="{00000000-0004-0000-0900-000001000000}"/>
    <hyperlink ref="A68" r:id="rId3" xr:uid="{00000000-0004-0000-0900-000002000000}"/>
  </hyperlinks>
  <pageMargins left="0.7" right="0.7" top="0.75" bottom="0.75" header="0.3" footer="0.3"/>
  <pageSetup paperSize="9" scale="86" orientation="landscape" r:id="rId4"/>
  <rowBreaks count="7" manualBreakCount="7">
    <brk id="27" max="16383" man="1"/>
    <brk id="48" max="16383" man="1"/>
    <brk id="69" max="16383" man="1"/>
    <brk id="90" max="16383" man="1"/>
    <brk id="121" max="16383" man="1"/>
    <brk id="149" max="16383" man="1"/>
    <brk id="178" max="16383" man="1"/>
  </rowBreaks>
  <ignoredErrors>
    <ignoredError sqref="F71" numberStoredAsText="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Y213"/>
  <sheetViews>
    <sheetView topLeftCell="A65" zoomScaleNormal="100" workbookViewId="0">
      <selection activeCell="G88" sqref="G88"/>
    </sheetView>
  </sheetViews>
  <sheetFormatPr defaultRowHeight="15"/>
  <cols>
    <col min="1" max="1" width="15.44140625" customWidth="1"/>
    <col min="2" max="2" width="10.21875" customWidth="1"/>
    <col min="3" max="3" width="13.6640625" customWidth="1"/>
    <col min="4" max="4" width="10.44140625" bestFit="1" customWidth="1"/>
    <col min="5" max="5" width="10.21875" bestFit="1" customWidth="1"/>
    <col min="6" max="8" width="8.77734375" bestFit="1" customWidth="1"/>
    <col min="9" max="9" width="2.21875" customWidth="1"/>
    <col min="11" max="11" width="13.77734375" customWidth="1"/>
    <col min="12" max="12" width="11.44140625" bestFit="1" customWidth="1"/>
    <col min="13" max="13" width="2.21875" customWidth="1"/>
    <col min="14" max="14" width="2.6640625" customWidth="1"/>
    <col min="15" max="17" width="8.44140625" customWidth="1"/>
    <col min="18" max="18" width="3.21875" customWidth="1"/>
    <col min="19" max="19" width="8.44140625" customWidth="1"/>
    <col min="20" max="20" width="11.33203125" customWidth="1"/>
    <col min="21" max="21" width="9.77734375" customWidth="1"/>
    <col min="22" max="23" width="8.44140625" customWidth="1"/>
    <col min="24" max="24" width="7.77734375" customWidth="1"/>
    <col min="25" max="25" width="9.21875" customWidth="1"/>
    <col min="26" max="26" width="9.77734375" customWidth="1"/>
    <col min="27" max="27" width="5.33203125" customWidth="1"/>
    <col min="28" max="28" width="3.88671875" customWidth="1"/>
    <col min="29" max="29" width="12.5546875" customWidth="1"/>
    <col min="30" max="30" width="7.88671875" customWidth="1"/>
    <col min="31" max="31" width="13.109375" customWidth="1"/>
    <col min="32" max="32" width="2" customWidth="1"/>
    <col min="33" max="33" width="9.109375" customWidth="1"/>
    <col min="34" max="34" width="8" customWidth="1"/>
    <col min="35" max="35" width="8.44140625" customWidth="1"/>
    <col min="36" max="36" width="2.21875" customWidth="1"/>
    <col min="37" max="37" width="9.109375" customWidth="1"/>
    <col min="38" max="38" width="4.44140625" customWidth="1"/>
    <col min="39" max="39" width="15.5546875" customWidth="1"/>
    <col min="42" max="42" width="2.21875" customWidth="1"/>
    <col min="43" max="43" width="20.6640625" customWidth="1"/>
    <col min="44" max="44" width="11.21875" customWidth="1"/>
    <col min="45" max="45" width="4.44140625" customWidth="1"/>
    <col min="46" max="46" width="15.5546875" customWidth="1"/>
    <col min="51" max="51" width="10.44140625" customWidth="1"/>
  </cols>
  <sheetData>
    <row r="1" spans="1:46" ht="15.75">
      <c r="A1" s="11" t="s">
        <v>381</v>
      </c>
      <c r="O1" s="11" t="s">
        <v>382</v>
      </c>
      <c r="AC1" s="11" t="s">
        <v>383</v>
      </c>
      <c r="AT1" s="11" t="s">
        <v>384</v>
      </c>
    </row>
    <row r="2" spans="1:46" ht="15.75">
      <c r="A2" s="770" t="s">
        <v>385</v>
      </c>
      <c r="AC2" s="770" t="s">
        <v>386</v>
      </c>
      <c r="AT2" s="770" t="s">
        <v>387</v>
      </c>
    </row>
    <row r="3" spans="1:46" ht="27" customHeight="1">
      <c r="A3" s="562" t="s">
        <v>388</v>
      </c>
      <c r="D3" s="422"/>
      <c r="E3" s="422"/>
      <c r="F3" s="422"/>
      <c r="G3" s="422"/>
      <c r="O3" s="85"/>
      <c r="P3" s="85"/>
      <c r="Q3" s="85"/>
      <c r="R3" s="85"/>
      <c r="S3" s="85"/>
      <c r="T3" s="85"/>
      <c r="U3" s="85"/>
      <c r="V3" s="85"/>
      <c r="W3" s="85"/>
      <c r="AC3" s="770"/>
      <c r="AT3" s="770"/>
    </row>
    <row r="4" spans="1:46" hidden="1">
      <c r="A4" s="53" t="s">
        <v>389</v>
      </c>
      <c r="B4" s="214"/>
      <c r="C4" s="214"/>
      <c r="D4" s="214"/>
      <c r="E4" s="214"/>
      <c r="F4" s="214"/>
      <c r="G4" s="214"/>
      <c r="H4" s="214"/>
      <c r="I4" s="214"/>
      <c r="J4" s="214"/>
      <c r="K4" s="214"/>
      <c r="L4" s="214"/>
      <c r="M4" s="214"/>
      <c r="N4" s="214"/>
      <c r="X4" s="214"/>
      <c r="Y4" s="214"/>
      <c r="Z4" s="214"/>
      <c r="AA4" s="214"/>
      <c r="AB4" s="214"/>
      <c r="AC4" s="53" t="s">
        <v>390</v>
      </c>
      <c r="AD4" s="214"/>
      <c r="AE4" s="214"/>
      <c r="AF4" s="214"/>
      <c r="AG4" s="214"/>
      <c r="AH4" s="214"/>
      <c r="AI4" s="214"/>
      <c r="AJ4" s="214"/>
      <c r="AK4" s="214"/>
      <c r="AT4" s="53" t="s">
        <v>390</v>
      </c>
    </row>
    <row r="5" spans="1:46" hidden="1">
      <c r="A5" s="214"/>
      <c r="B5" s="214"/>
      <c r="C5" s="214"/>
      <c r="D5" s="214"/>
      <c r="E5" s="235"/>
      <c r="F5" s="214"/>
      <c r="G5" s="214"/>
      <c r="H5" s="214"/>
      <c r="I5" s="214"/>
      <c r="J5" s="214"/>
      <c r="K5" s="214"/>
      <c r="L5" s="214"/>
      <c r="M5" s="214"/>
      <c r="N5" s="214"/>
      <c r="X5" s="214"/>
      <c r="Y5" s="214"/>
      <c r="Z5" s="214"/>
      <c r="AA5" s="214"/>
      <c r="AB5" s="214"/>
      <c r="AC5" s="214"/>
      <c r="AD5" s="214"/>
      <c r="AE5" s="214"/>
      <c r="AF5" s="214"/>
      <c r="AG5" s="214"/>
      <c r="AH5" s="214"/>
      <c r="AI5" s="214"/>
      <c r="AJ5" s="214"/>
      <c r="AK5" s="214"/>
    </row>
    <row r="6" spans="1:46" ht="15.75" hidden="1">
      <c r="A6" s="139" t="s">
        <v>391</v>
      </c>
      <c r="B6" s="139"/>
      <c r="C6" s="139" t="s">
        <v>392</v>
      </c>
      <c r="D6" s="139" t="s">
        <v>393</v>
      </c>
      <c r="E6" s="139" t="s">
        <v>394</v>
      </c>
      <c r="F6" s="139" t="s">
        <v>395</v>
      </c>
      <c r="G6" s="139" t="s">
        <v>396</v>
      </c>
      <c r="H6" s="139" t="s">
        <v>397</v>
      </c>
      <c r="I6" s="214"/>
      <c r="J6" s="125" t="s">
        <v>398</v>
      </c>
      <c r="K6" s="124"/>
      <c r="L6" s="124"/>
      <c r="M6" s="214"/>
      <c r="N6" s="214"/>
      <c r="X6" s="214"/>
      <c r="Y6" s="214"/>
      <c r="Z6" s="214"/>
      <c r="AA6" s="214"/>
      <c r="AB6" s="214"/>
      <c r="AC6" s="139" t="s">
        <v>399</v>
      </c>
      <c r="AD6" s="139"/>
      <c r="AE6" s="139" t="s">
        <v>400</v>
      </c>
      <c r="AF6" s="139"/>
      <c r="AG6" s="139" t="s">
        <v>401</v>
      </c>
      <c r="AH6" s="139" t="s">
        <v>402</v>
      </c>
      <c r="AI6" s="139" t="s">
        <v>403</v>
      </c>
      <c r="AJ6" s="813"/>
      <c r="AK6" s="228" t="s">
        <v>404</v>
      </c>
    </row>
    <row r="7" spans="1:46" s="5" customFormat="1" hidden="1">
      <c r="A7" s="282">
        <v>2015</v>
      </c>
      <c r="B7" s="282"/>
      <c r="C7" s="282"/>
      <c r="D7" s="282"/>
      <c r="E7" s="282"/>
      <c r="F7" s="282"/>
      <c r="G7" s="282"/>
      <c r="H7" s="282"/>
      <c r="I7" s="139"/>
      <c r="J7" s="124"/>
      <c r="K7" s="124"/>
      <c r="L7" s="124"/>
      <c r="M7" s="139"/>
      <c r="N7" s="139"/>
      <c r="O7" s="282">
        <v>2015</v>
      </c>
      <c r="P7" s="282"/>
      <c r="Q7" s="282"/>
      <c r="R7" s="85"/>
      <c r="S7" s="125" t="s">
        <v>398</v>
      </c>
      <c r="T7" s="124"/>
      <c r="U7" s="124"/>
      <c r="V7" s="124"/>
      <c r="W7" s="124"/>
      <c r="X7" s="139"/>
      <c r="Y7" s="139"/>
      <c r="Z7" s="139"/>
      <c r="AA7" s="139"/>
      <c r="AB7" s="139"/>
      <c r="AC7" s="290">
        <v>2015</v>
      </c>
      <c r="AD7" s="813"/>
      <c r="AE7" s="813"/>
      <c r="AF7" s="813"/>
      <c r="AG7" s="813"/>
      <c r="AH7" s="813"/>
      <c r="AI7" s="813"/>
      <c r="AJ7" s="813"/>
      <c r="AK7" s="813"/>
      <c r="AL7" s="770"/>
      <c r="AM7" s="770"/>
      <c r="AN7" s="770"/>
      <c r="AO7" s="770"/>
      <c r="AP7" s="770"/>
      <c r="AQ7" s="770"/>
      <c r="AR7" s="770"/>
      <c r="AS7" s="770"/>
      <c r="AT7" s="770"/>
    </row>
    <row r="8" spans="1:46" s="5" customFormat="1" hidden="1">
      <c r="A8" s="278" t="s">
        <v>28</v>
      </c>
      <c r="B8" s="279"/>
      <c r="C8" s="284">
        <f>C9*E8</f>
        <v>26246.25</v>
      </c>
      <c r="D8" s="284">
        <f>D9*E8</f>
        <v>16331.000000000002</v>
      </c>
      <c r="E8" s="284">
        <v>11665</v>
      </c>
      <c r="F8" s="284">
        <f>F9*E8</f>
        <v>4665.9999999999991</v>
      </c>
      <c r="G8" s="284">
        <f>G9*E8</f>
        <v>2332.9999999999995</v>
      </c>
      <c r="H8" s="284">
        <f>H9*E8</f>
        <v>1458.125</v>
      </c>
      <c r="I8" s="85"/>
      <c r="J8" s="125" t="s">
        <v>405</v>
      </c>
      <c r="K8" s="236"/>
      <c r="L8" s="126">
        <f>38394000-Basbelopp!T10</f>
        <v>37422153</v>
      </c>
      <c r="M8" s="85"/>
      <c r="N8" s="85"/>
      <c r="O8" s="278" t="s">
        <v>28</v>
      </c>
      <c r="P8" s="279"/>
      <c r="Q8" s="280">
        <f>T12</f>
        <v>38821</v>
      </c>
      <c r="R8" s="139"/>
      <c r="S8" s="124" t="s">
        <v>406</v>
      </c>
      <c r="T8" s="124"/>
      <c r="U8" s="124"/>
      <c r="V8" s="124"/>
      <c r="W8" s="124"/>
      <c r="X8" s="85"/>
      <c r="Y8" s="85"/>
      <c r="Z8" s="85"/>
      <c r="AA8" s="85"/>
      <c r="AB8" s="85"/>
      <c r="AC8" s="278" t="s">
        <v>28</v>
      </c>
      <c r="AD8" s="279"/>
      <c r="AE8" s="280">
        <v>10849.67</v>
      </c>
      <c r="AF8" s="280"/>
      <c r="AG8" s="280">
        <v>1311</v>
      </c>
      <c r="AH8" s="280">
        <v>5813</v>
      </c>
      <c r="AI8" s="280">
        <v>21095</v>
      </c>
      <c r="AJ8" s="281"/>
      <c r="AK8" s="280">
        <v>1026.3</v>
      </c>
      <c r="AL8" s="770"/>
      <c r="AM8" s="770"/>
      <c r="AN8" s="770"/>
      <c r="AO8" s="770"/>
      <c r="AP8" s="770"/>
      <c r="AQ8" s="770"/>
      <c r="AR8" s="770"/>
      <c r="AS8" s="770"/>
      <c r="AT8" s="770"/>
    </row>
    <row r="9" spans="1:46" s="5" customFormat="1" hidden="1">
      <c r="A9" s="104" t="s">
        <v>407</v>
      </c>
      <c r="B9" s="85"/>
      <c r="C9" s="237">
        <v>2.25</v>
      </c>
      <c r="D9" s="237">
        <v>1.4000000000000001</v>
      </c>
      <c r="E9" s="237">
        <v>1</v>
      </c>
      <c r="F9" s="237">
        <v>0.39999999999999991</v>
      </c>
      <c r="G9" s="237">
        <v>0.19999999999999996</v>
      </c>
      <c r="H9" s="237">
        <v>0.125</v>
      </c>
      <c r="I9" s="85"/>
      <c r="J9" s="125" t="s">
        <v>408</v>
      </c>
      <c r="K9" s="238"/>
      <c r="L9" s="126">
        <v>3208</v>
      </c>
      <c r="M9" s="85"/>
      <c r="N9" s="85"/>
      <c r="O9" s="85"/>
      <c r="P9" s="85"/>
      <c r="Q9" s="85"/>
      <c r="R9" s="139"/>
      <c r="S9" s="124"/>
      <c r="T9" s="124"/>
      <c r="U9" s="124"/>
      <c r="V9" s="124"/>
      <c r="W9" s="124"/>
      <c r="X9" s="85"/>
      <c r="Y9" s="85"/>
      <c r="Z9" s="85"/>
      <c r="AA9" s="85"/>
      <c r="AB9" s="85"/>
      <c r="AC9" s="53" t="s">
        <v>409</v>
      </c>
      <c r="AD9" s="214"/>
      <c r="AE9" s="227"/>
      <c r="AF9" s="227"/>
      <c r="AG9" s="227"/>
      <c r="AH9" s="227"/>
      <c r="AI9" s="227"/>
      <c r="AJ9" s="813"/>
      <c r="AK9" s="227"/>
      <c r="AL9" s="770"/>
      <c r="AM9" s="770"/>
      <c r="AN9" s="770"/>
      <c r="AO9" s="770"/>
      <c r="AP9" s="770"/>
      <c r="AQ9" s="770"/>
      <c r="AR9" s="770"/>
      <c r="AS9" s="770"/>
      <c r="AT9" s="770"/>
    </row>
    <row r="10" spans="1:46" ht="15.75" hidden="1">
      <c r="A10" s="214"/>
      <c r="B10" s="214"/>
      <c r="C10" s="214"/>
      <c r="D10" s="214"/>
      <c r="E10" s="214"/>
      <c r="F10" s="214"/>
      <c r="G10" s="214"/>
      <c r="H10" s="214"/>
      <c r="I10" s="214"/>
      <c r="J10" s="125" t="s">
        <v>410</v>
      </c>
      <c r="K10" s="238"/>
      <c r="L10" s="126">
        <f>ROUND(L8/L9,0)</f>
        <v>11665</v>
      </c>
      <c r="M10" s="22"/>
      <c r="N10" s="22"/>
      <c r="R10" s="85"/>
      <c r="S10" s="125" t="s">
        <v>411</v>
      </c>
      <c r="T10" s="126">
        <v>971847</v>
      </c>
      <c r="U10" s="126"/>
      <c r="V10" s="126"/>
      <c r="W10" s="126"/>
      <c r="X10" s="22"/>
      <c r="Y10" s="22"/>
      <c r="Z10" s="22"/>
      <c r="AA10" s="22"/>
      <c r="AB10" s="22"/>
      <c r="AC10" s="214"/>
      <c r="AD10" s="214"/>
      <c r="AE10" s="227"/>
      <c r="AF10" s="227"/>
      <c r="AG10" s="227"/>
      <c r="AH10" s="227"/>
      <c r="AI10" s="227"/>
      <c r="AJ10" s="813"/>
      <c r="AK10" s="227"/>
    </row>
    <row r="11" spans="1:46" ht="15.75" hidden="1">
      <c r="A11" s="282">
        <v>2017</v>
      </c>
      <c r="B11" s="282"/>
      <c r="C11" s="282"/>
      <c r="D11" s="282"/>
      <c r="E11" s="282"/>
      <c r="F11" s="282"/>
      <c r="G11" s="282"/>
      <c r="H11" s="282"/>
      <c r="I11" s="214"/>
      <c r="J11" s="214"/>
      <c r="K11" s="214"/>
      <c r="L11" s="85"/>
      <c r="M11" s="23"/>
      <c r="N11" s="23"/>
      <c r="O11" s="282">
        <v>2017</v>
      </c>
      <c r="P11" s="282"/>
      <c r="Q11" s="282"/>
      <c r="R11" s="85"/>
      <c r="S11" s="125" t="s">
        <v>412</v>
      </c>
      <c r="T11" s="179">
        <f>7/12*18+5/12*21</f>
        <v>19.25</v>
      </c>
      <c r="U11" s="179"/>
      <c r="V11" s="179"/>
      <c r="W11" s="179"/>
      <c r="X11" s="23"/>
      <c r="Y11" s="23"/>
      <c r="Z11" s="23"/>
      <c r="AA11" s="23"/>
      <c r="AB11" s="23"/>
      <c r="AC11" s="290">
        <v>2017</v>
      </c>
      <c r="AD11" s="813"/>
      <c r="AE11" s="813"/>
      <c r="AF11" s="813"/>
      <c r="AG11" s="813"/>
      <c r="AH11" s="813"/>
      <c r="AI11" s="813"/>
      <c r="AJ11" s="813"/>
      <c r="AK11" s="813"/>
    </row>
    <row r="12" spans="1:46" ht="15.75" hidden="1">
      <c r="A12" s="177" t="s">
        <v>413</v>
      </c>
      <c r="B12" s="178">
        <f>151.2/150.1</f>
        <v>1.0073284477015323</v>
      </c>
      <c r="C12" s="139"/>
      <c r="D12" s="139"/>
      <c r="E12" s="139"/>
      <c r="F12" s="139"/>
      <c r="G12" s="139"/>
      <c r="H12" s="139"/>
      <c r="I12" s="214"/>
      <c r="J12" s="53" t="s">
        <v>414</v>
      </c>
      <c r="K12" s="85"/>
      <c r="L12" s="85"/>
      <c r="M12" s="23"/>
      <c r="N12" s="23"/>
      <c r="O12" s="177" t="s">
        <v>413</v>
      </c>
      <c r="P12" s="178">
        <f>Basbelopp!B12</f>
        <v>1.0073284477015323</v>
      </c>
      <c r="Q12" s="139"/>
      <c r="R12" s="85"/>
      <c r="S12" s="125" t="s">
        <v>415</v>
      </c>
      <c r="T12" s="126">
        <f>ROUND(T10/T11-Basbelopp!L10,0)</f>
        <v>38821</v>
      </c>
      <c r="U12" s="126"/>
      <c r="V12" s="126"/>
      <c r="W12" s="126"/>
      <c r="X12" s="23"/>
      <c r="Y12" s="23"/>
      <c r="Z12" s="23"/>
      <c r="AA12" s="23"/>
      <c r="AB12" s="23"/>
      <c r="AC12" s="177" t="s">
        <v>413</v>
      </c>
      <c r="AD12" s="178">
        <f>Basbelopp!B12</f>
        <v>1.0073284477015323</v>
      </c>
      <c r="AE12" s="229"/>
      <c r="AF12" s="229"/>
      <c r="AG12" s="229"/>
      <c r="AH12" s="229"/>
      <c r="AI12" s="229"/>
      <c r="AJ12" s="813"/>
      <c r="AK12" s="229"/>
    </row>
    <row r="13" spans="1:46" hidden="1">
      <c r="A13" s="278" t="s">
        <v>28</v>
      </c>
      <c r="B13" s="284"/>
      <c r="C13" s="284">
        <f t="shared" ref="C13:H13" si="0">$B$12*C8</f>
        <v>26438.594270486341</v>
      </c>
      <c r="D13" s="284">
        <f t="shared" si="0"/>
        <v>16450.680879413725</v>
      </c>
      <c r="E13" s="284">
        <f t="shared" si="0"/>
        <v>11750.486342438375</v>
      </c>
      <c r="F13" s="284">
        <f t="shared" si="0"/>
        <v>4700.1945369753485</v>
      </c>
      <c r="G13" s="284">
        <f t="shared" si="0"/>
        <v>2350.0972684876742</v>
      </c>
      <c r="H13" s="284">
        <f t="shared" si="0"/>
        <v>1468.8107928047968</v>
      </c>
      <c r="I13" s="214"/>
      <c r="J13" s="214"/>
      <c r="K13" s="214"/>
      <c r="L13" s="214"/>
      <c r="M13" s="23"/>
      <c r="N13" s="23"/>
      <c r="O13" s="278" t="s">
        <v>28</v>
      </c>
      <c r="P13" s="283"/>
      <c r="Q13" s="399">
        <f>P12*Q8</f>
        <v>39105.497668221185</v>
      </c>
      <c r="R13" s="85"/>
      <c r="S13" s="85"/>
      <c r="T13" s="85"/>
      <c r="U13" s="85"/>
      <c r="V13" s="85"/>
      <c r="W13" s="85"/>
      <c r="X13" s="23"/>
      <c r="Y13" s="23"/>
      <c r="Z13" s="23"/>
      <c r="AA13" s="23"/>
      <c r="AB13" s="23"/>
      <c r="AC13" s="278" t="s">
        <v>28</v>
      </c>
      <c r="AD13" s="279"/>
      <c r="AE13" s="280">
        <f>AE8*$AD$12</f>
        <v>10929.181239173884</v>
      </c>
      <c r="AF13" s="280"/>
      <c r="AG13" s="280">
        <f>AG8*$AD$12</f>
        <v>1320.6075949367089</v>
      </c>
      <c r="AH13" s="280">
        <f>AH8*$AD$12</f>
        <v>5855.6002664890075</v>
      </c>
      <c r="AI13" s="280">
        <f>AI8*$AD$12</f>
        <v>21249.593604263824</v>
      </c>
      <c r="AJ13" s="281"/>
      <c r="AK13" s="280">
        <f>AK8*$AD$12</f>
        <v>1033.8211858760826</v>
      </c>
    </row>
    <row r="14" spans="1:46" ht="15.75" hidden="1">
      <c r="A14" s="214"/>
      <c r="B14" s="214"/>
      <c r="C14" s="214"/>
      <c r="D14" s="214"/>
      <c r="E14" s="214"/>
      <c r="F14" s="214"/>
      <c r="G14" s="214"/>
      <c r="H14" s="214"/>
      <c r="I14" s="214"/>
      <c r="J14" s="214"/>
      <c r="K14" s="214"/>
      <c r="L14" s="214"/>
      <c r="M14" s="23"/>
      <c r="N14" s="23"/>
      <c r="O14" s="85"/>
      <c r="P14" s="180"/>
      <c r="Q14" s="85"/>
      <c r="R14" s="85"/>
      <c r="S14" s="85"/>
      <c r="T14" s="85"/>
      <c r="U14" s="85"/>
      <c r="V14" s="85"/>
      <c r="W14" s="85"/>
      <c r="X14" s="23"/>
      <c r="Y14" s="23"/>
      <c r="Z14" s="23"/>
      <c r="AA14" s="23"/>
      <c r="AB14" s="23"/>
      <c r="AC14" s="214"/>
      <c r="AD14" s="230"/>
      <c r="AE14" s="227"/>
      <c r="AF14" s="227"/>
      <c r="AG14" s="227"/>
      <c r="AH14" s="227"/>
      <c r="AI14" s="227"/>
      <c r="AJ14" s="813"/>
      <c r="AK14" s="227"/>
    </row>
    <row r="15" spans="1:46" ht="15.75" hidden="1">
      <c r="A15" s="282">
        <v>2018</v>
      </c>
      <c r="B15" s="282"/>
      <c r="C15" s="282"/>
      <c r="D15" s="282"/>
      <c r="E15" s="282"/>
      <c r="F15" s="282"/>
      <c r="G15" s="282"/>
      <c r="H15" s="282"/>
      <c r="I15" s="214"/>
      <c r="J15" s="214"/>
      <c r="K15" s="214"/>
      <c r="L15" s="214"/>
      <c r="M15" s="23"/>
      <c r="N15" s="23"/>
      <c r="O15" s="282">
        <v>2018</v>
      </c>
      <c r="P15" s="282"/>
      <c r="Q15" s="282"/>
      <c r="R15" s="85"/>
      <c r="S15" s="85"/>
      <c r="T15" s="85"/>
      <c r="U15" s="85"/>
      <c r="V15" s="85"/>
      <c r="W15" s="85"/>
      <c r="X15" s="23"/>
      <c r="Y15" s="23"/>
      <c r="Z15" s="23"/>
      <c r="AA15" s="23"/>
      <c r="AB15" s="23"/>
      <c r="AC15" s="290">
        <v>2018</v>
      </c>
      <c r="AD15" s="813"/>
      <c r="AE15" s="813"/>
      <c r="AF15" s="813"/>
      <c r="AG15" s="813"/>
      <c r="AH15" s="813"/>
      <c r="AI15" s="813"/>
      <c r="AJ15" s="813"/>
      <c r="AK15" s="813"/>
    </row>
    <row r="16" spans="1:46" ht="15.75" hidden="1">
      <c r="A16" s="177" t="s">
        <v>416</v>
      </c>
      <c r="B16" s="178">
        <v>1.0006613756613758</v>
      </c>
      <c r="C16" s="139"/>
      <c r="D16" s="139"/>
      <c r="E16" s="139"/>
      <c r="F16" s="139"/>
      <c r="G16" s="139"/>
      <c r="H16" s="139"/>
      <c r="I16" s="214"/>
      <c r="J16" s="214"/>
      <c r="K16" s="214"/>
      <c r="L16" s="230"/>
      <c r="M16" s="23"/>
      <c r="N16" s="23"/>
      <c r="O16" s="177" t="s">
        <v>416</v>
      </c>
      <c r="P16" s="178">
        <v>1.0006613756613758</v>
      </c>
      <c r="Q16" s="139"/>
      <c r="R16" s="85"/>
      <c r="S16" s="85"/>
      <c r="T16" s="85"/>
      <c r="U16" s="85"/>
      <c r="V16" s="85"/>
      <c r="W16" s="85"/>
      <c r="X16" s="23"/>
      <c r="Y16" s="23"/>
      <c r="Z16" s="23"/>
      <c r="AA16" s="23"/>
      <c r="AB16" s="23"/>
      <c r="AC16" s="177" t="s">
        <v>416</v>
      </c>
      <c r="AD16" s="178">
        <v>1.0006613756613758</v>
      </c>
      <c r="AE16" s="229"/>
      <c r="AF16" s="229"/>
      <c r="AG16" s="229"/>
      <c r="AH16" s="229"/>
      <c r="AI16" s="229"/>
      <c r="AJ16" s="813"/>
      <c r="AK16" s="229"/>
    </row>
    <row r="17" spans="1:44" ht="15.75" hidden="1">
      <c r="A17" s="278" t="s">
        <v>28</v>
      </c>
      <c r="B17" s="284"/>
      <c r="C17" s="284">
        <v>26456.080000000002</v>
      </c>
      <c r="D17" s="284">
        <v>16461.560000000001</v>
      </c>
      <c r="E17" s="284">
        <v>11758.26</v>
      </c>
      <c r="F17" s="284">
        <v>4703.3</v>
      </c>
      <c r="G17" s="284">
        <v>2351.65</v>
      </c>
      <c r="H17" s="284">
        <v>1469.78</v>
      </c>
      <c r="I17" s="214"/>
      <c r="J17" s="214"/>
      <c r="K17" s="214"/>
      <c r="L17" s="214"/>
      <c r="M17" s="23"/>
      <c r="N17" s="23"/>
      <c r="O17" s="278" t="s">
        <v>28</v>
      </c>
      <c r="P17" s="279"/>
      <c r="Q17" s="280">
        <v>39131.360000000001</v>
      </c>
      <c r="R17" s="85"/>
      <c r="S17" s="85"/>
      <c r="T17" s="85"/>
      <c r="U17" s="85"/>
      <c r="V17" s="85"/>
      <c r="W17" s="85"/>
      <c r="X17" s="23"/>
      <c r="Y17" s="23"/>
      <c r="Z17" s="23"/>
      <c r="AA17" s="23"/>
      <c r="AB17" s="23"/>
      <c r="AC17" s="278" t="s">
        <v>28</v>
      </c>
      <c r="AD17" s="279"/>
      <c r="AE17" s="280">
        <f>ROUND(AE13*$AD$16,2)</f>
        <v>10936.41</v>
      </c>
      <c r="AF17" s="280"/>
      <c r="AG17" s="280">
        <f>ROUND(AG13*$AD$16,2)</f>
        <v>1321.48</v>
      </c>
      <c r="AH17" s="280">
        <f>ROUND(AH13*$AD$16,2)</f>
        <v>5859.47</v>
      </c>
      <c r="AI17" s="280">
        <f>ROUND(AI13*$AD$16,2)</f>
        <v>21263.65</v>
      </c>
      <c r="AJ17" s="813"/>
      <c r="AK17" s="280">
        <f>ROUND(AK13*$AD$16,2)</f>
        <v>1034.5</v>
      </c>
    </row>
    <row r="18" spans="1:44" ht="15.75" hidden="1">
      <c r="A18" s="164"/>
      <c r="B18" s="319"/>
      <c r="C18" s="319"/>
      <c r="D18" s="319"/>
      <c r="E18" s="319"/>
      <c r="F18" s="319"/>
      <c r="G18" s="319"/>
      <c r="H18" s="319"/>
      <c r="I18" s="214"/>
      <c r="J18" s="214"/>
      <c r="K18" s="214"/>
      <c r="L18" s="214"/>
      <c r="M18" s="23"/>
      <c r="N18" s="23"/>
      <c r="O18" s="85"/>
      <c r="P18" s="180"/>
      <c r="Q18" s="85"/>
      <c r="R18" s="85"/>
      <c r="S18" s="85"/>
      <c r="X18" s="23"/>
      <c r="Y18" s="23"/>
      <c r="Z18" s="23"/>
      <c r="AA18" s="23"/>
      <c r="AB18" s="23"/>
      <c r="AC18" s="214"/>
      <c r="AD18" s="230"/>
      <c r="AE18" s="227"/>
      <c r="AF18" s="227"/>
      <c r="AG18" s="227"/>
      <c r="AH18" s="227"/>
      <c r="AI18" s="227"/>
      <c r="AJ18" s="813"/>
      <c r="AK18" s="227"/>
    </row>
    <row r="19" spans="1:44" ht="15.75" hidden="1">
      <c r="A19" s="282">
        <v>2019</v>
      </c>
      <c r="B19" s="282"/>
      <c r="C19" s="282"/>
      <c r="D19" s="282"/>
      <c r="E19" s="282"/>
      <c r="F19" s="282"/>
      <c r="G19" s="282"/>
      <c r="H19" s="282"/>
      <c r="I19" s="214"/>
      <c r="J19" s="214"/>
      <c r="K19" s="214"/>
      <c r="L19" s="214"/>
      <c r="M19" s="23"/>
      <c r="N19" s="23"/>
      <c r="O19" s="282">
        <v>2019</v>
      </c>
      <c r="P19" s="282"/>
      <c r="Q19" s="282"/>
      <c r="R19" s="85"/>
      <c r="S19" s="85"/>
      <c r="X19" s="23"/>
      <c r="Y19" s="23"/>
      <c r="Z19" s="23"/>
      <c r="AA19" s="23"/>
      <c r="AB19" s="23"/>
      <c r="AC19" s="290">
        <v>2019</v>
      </c>
      <c r="AD19" s="813"/>
      <c r="AE19" s="813"/>
      <c r="AF19" s="813"/>
      <c r="AG19" s="813"/>
      <c r="AH19" s="813"/>
      <c r="AI19" s="813"/>
      <c r="AJ19" s="813"/>
      <c r="AK19" s="813"/>
    </row>
    <row r="20" spans="1:44" ht="15.75" hidden="1">
      <c r="A20" s="177" t="s">
        <v>417</v>
      </c>
      <c r="B20" s="178">
        <v>0.98545935228023795</v>
      </c>
      <c r="C20" s="139"/>
      <c r="D20" s="263" t="s">
        <v>418</v>
      </c>
      <c r="E20" s="177">
        <v>151.30000000000001</v>
      </c>
      <c r="F20" s="263" t="s">
        <v>419</v>
      </c>
      <c r="G20" s="177">
        <v>149.1</v>
      </c>
      <c r="H20" s="139"/>
      <c r="I20" s="214"/>
      <c r="J20" s="214" t="s">
        <v>420</v>
      </c>
      <c r="K20" s="214"/>
      <c r="L20" s="214"/>
      <c r="M20" s="23"/>
      <c r="N20" s="23"/>
      <c r="O20" s="178" t="str">
        <f>Basbelopp!A24</f>
        <v>Indexförändring 2019</v>
      </c>
      <c r="P20" s="178">
        <f>B20</f>
        <v>0.98545935228023795</v>
      </c>
      <c r="Q20" s="139"/>
      <c r="R20" s="85"/>
      <c r="S20" s="85"/>
      <c r="X20" s="23"/>
      <c r="Y20" s="23"/>
      <c r="Z20" s="23"/>
      <c r="AA20" s="23"/>
      <c r="AB20" s="23"/>
      <c r="AC20" s="178" t="s">
        <v>417</v>
      </c>
      <c r="AD20" s="178">
        <v>0.98545935228023784</v>
      </c>
      <c r="AE20" s="229"/>
      <c r="AF20" s="229"/>
      <c r="AG20" s="229"/>
      <c r="AH20" s="229"/>
      <c r="AI20" s="229"/>
      <c r="AJ20" s="813"/>
      <c r="AK20" s="229"/>
    </row>
    <row r="21" spans="1:44" ht="15.75" hidden="1">
      <c r="A21" s="278" t="s">
        <v>28</v>
      </c>
      <c r="B21" s="284"/>
      <c r="C21" s="284">
        <v>26071.39</v>
      </c>
      <c r="D21" s="284">
        <v>16222.2</v>
      </c>
      <c r="E21" s="284">
        <v>11587.29</v>
      </c>
      <c r="F21" s="284">
        <v>4634.91</v>
      </c>
      <c r="G21" s="284">
        <v>2317.46</v>
      </c>
      <c r="H21" s="284">
        <v>1448.41</v>
      </c>
      <c r="I21" s="214"/>
      <c r="J21" s="214"/>
      <c r="K21" s="214"/>
      <c r="L21" s="214"/>
      <c r="M21" s="23"/>
      <c r="N21" s="23"/>
      <c r="O21" s="278" t="s">
        <v>28</v>
      </c>
      <c r="P21" s="279"/>
      <c r="Q21" s="280">
        <f>ROUND(P20*Q17,2)</f>
        <v>38562.36</v>
      </c>
      <c r="X21" s="23"/>
      <c r="Y21" s="23"/>
      <c r="Z21" s="23"/>
      <c r="AA21" s="23"/>
      <c r="AB21" s="23"/>
      <c r="AC21" s="278" t="s">
        <v>28</v>
      </c>
      <c r="AD21" s="279"/>
      <c r="AE21" s="280">
        <f>ROUND($AD$20*AE17,2)</f>
        <v>10777.39</v>
      </c>
      <c r="AF21" s="280"/>
      <c r="AG21" s="280">
        <f>ROUND($AD$20*AG17,2)</f>
        <v>1302.26</v>
      </c>
      <c r="AH21" s="280">
        <f>ROUND($AD$20*AH17,2)</f>
        <v>5774.27</v>
      </c>
      <c r="AI21" s="280">
        <f>ROUND($AD$20*AI17,2)</f>
        <v>20954.46</v>
      </c>
      <c r="AJ21" s="813"/>
      <c r="AK21" s="280">
        <f>ROUND($AD$20*AK17,2)</f>
        <v>1019.46</v>
      </c>
    </row>
    <row r="22" spans="1:44" ht="15.75" hidden="1">
      <c r="A22" s="214"/>
      <c r="B22" s="214"/>
      <c r="C22" s="214"/>
      <c r="D22" s="214"/>
      <c r="E22" s="214"/>
      <c r="F22" s="214"/>
      <c r="G22" s="214"/>
      <c r="H22" s="214"/>
      <c r="I22" s="214"/>
      <c r="J22" s="214"/>
      <c r="K22" s="214"/>
      <c r="L22" s="214"/>
      <c r="M22" s="23"/>
      <c r="N22" s="23"/>
      <c r="X22" s="23"/>
      <c r="Y22" s="23"/>
      <c r="Z22" s="23"/>
      <c r="AA22" s="23"/>
      <c r="AB22" s="23"/>
      <c r="AC22" s="214"/>
      <c r="AD22" s="230"/>
      <c r="AE22" s="227"/>
      <c r="AF22" s="227"/>
      <c r="AG22" s="227"/>
      <c r="AH22" s="227"/>
      <c r="AI22" s="227"/>
      <c r="AJ22" s="813"/>
      <c r="AK22" s="227"/>
    </row>
    <row r="23" spans="1:44" ht="16.5" hidden="1" thickBot="1">
      <c r="A23" s="282">
        <v>2020</v>
      </c>
      <c r="B23" s="282"/>
      <c r="C23" s="282"/>
      <c r="D23" s="282"/>
      <c r="E23" s="282"/>
      <c r="F23" s="282"/>
      <c r="G23" s="282"/>
      <c r="H23" s="282"/>
      <c r="I23" s="214"/>
      <c r="L23" s="214"/>
      <c r="M23" s="23"/>
      <c r="N23" s="23"/>
      <c r="O23" s="282">
        <v>2020</v>
      </c>
      <c r="P23" s="282"/>
      <c r="Q23" s="282"/>
      <c r="X23" s="23"/>
      <c r="Y23" s="23"/>
      <c r="Z23" s="23"/>
      <c r="AA23" s="23"/>
      <c r="AB23" s="23"/>
      <c r="AC23" s="290">
        <v>2020</v>
      </c>
      <c r="AD23" s="813"/>
      <c r="AE23" s="813"/>
      <c r="AF23" s="813"/>
      <c r="AG23" s="813"/>
      <c r="AH23" s="813"/>
      <c r="AI23" s="813"/>
      <c r="AJ23" s="813"/>
      <c r="AK23" s="813"/>
    </row>
    <row r="24" spans="1:44" ht="17.25" hidden="1" thickTop="1" thickBot="1">
      <c r="A24" s="261" t="s">
        <v>421</v>
      </c>
      <c r="B24" s="262">
        <f>G24/E24</f>
        <v>1.0090543259557343</v>
      </c>
      <c r="C24" s="139"/>
      <c r="D24" s="263" t="s">
        <v>419</v>
      </c>
      <c r="E24" s="177">
        <v>99.4</v>
      </c>
      <c r="F24" s="263" t="s">
        <v>422</v>
      </c>
      <c r="G24" s="177">
        <v>100.3</v>
      </c>
      <c r="H24" s="139"/>
      <c r="I24" s="214"/>
      <c r="J24" s="214"/>
      <c r="K24" s="214"/>
      <c r="L24" s="214"/>
      <c r="M24" s="23"/>
      <c r="N24" s="23"/>
      <c r="O24" s="178" t="str">
        <f>A24</f>
        <v>Indexförändring 2019</v>
      </c>
      <c r="P24" s="178">
        <f>B24</f>
        <v>1.0090543259557343</v>
      </c>
      <c r="Q24" s="139"/>
      <c r="X24" s="23"/>
      <c r="Y24" s="23"/>
      <c r="Z24" s="23"/>
      <c r="AA24" s="23"/>
      <c r="AB24" s="23"/>
      <c r="AC24" s="178" t="str">
        <f>Basbelopp!A24</f>
        <v>Indexförändring 2019</v>
      </c>
      <c r="AD24" s="178">
        <f>Basbelopp!B24</f>
        <v>1.0090543259557343</v>
      </c>
      <c r="AE24" s="229"/>
      <c r="AF24" s="229"/>
      <c r="AG24" s="229"/>
      <c r="AH24" s="229"/>
      <c r="AI24" s="229"/>
      <c r="AJ24" s="813"/>
      <c r="AK24" s="229"/>
    </row>
    <row r="25" spans="1:44" ht="16.5" hidden="1" thickTop="1">
      <c r="A25" s="278" t="s">
        <v>28</v>
      </c>
      <c r="B25" s="284"/>
      <c r="C25" s="284">
        <f>ROUND($B$24*C21,2)</f>
        <v>26307.45</v>
      </c>
      <c r="D25" s="284">
        <f>ROUND($B$24*D21,2)</f>
        <v>16369.08</v>
      </c>
      <c r="E25" s="284">
        <f t="shared" ref="E25:H25" si="1">ROUND($B$24*E21,2)</f>
        <v>11692.21</v>
      </c>
      <c r="F25" s="284">
        <f t="shared" si="1"/>
        <v>4676.88</v>
      </c>
      <c r="G25" s="284">
        <f t="shared" si="1"/>
        <v>2338.44</v>
      </c>
      <c r="H25" s="284">
        <f t="shared" si="1"/>
        <v>1461.52</v>
      </c>
      <c r="I25" s="214"/>
      <c r="J25" s="214" t="s">
        <v>423</v>
      </c>
      <c r="K25" s="214"/>
      <c r="L25" s="214"/>
      <c r="M25" s="23"/>
      <c r="N25" s="23"/>
      <c r="O25" s="278" t="s">
        <v>28</v>
      </c>
      <c r="P25" s="279"/>
      <c r="Q25" s="280">
        <f>ROUND(P24*Q21,2)</f>
        <v>38911.519999999997</v>
      </c>
      <c r="X25" s="23"/>
      <c r="Y25" s="23"/>
      <c r="Z25" s="23"/>
      <c r="AA25" s="23"/>
      <c r="AB25" s="23"/>
      <c r="AC25" s="278" t="s">
        <v>28</v>
      </c>
      <c r="AD25" s="279"/>
      <c r="AE25" s="280">
        <f>ROUND($AD$24*AE21,2)</f>
        <v>10874.97</v>
      </c>
      <c r="AF25" s="280"/>
      <c r="AG25" s="280">
        <f>ROUND($AD$24*AG21,2)</f>
        <v>1314.05</v>
      </c>
      <c r="AH25" s="280">
        <f>ROUND($AD$24*AH21,2)</f>
        <v>5826.55</v>
      </c>
      <c r="AI25" s="280">
        <f>ROUND($AD$24*AI21,2)</f>
        <v>21144.19</v>
      </c>
      <c r="AJ25" s="813"/>
      <c r="AK25" s="280">
        <f>ROUND($AD$24*AK21,2)</f>
        <v>1028.69</v>
      </c>
    </row>
    <row r="26" spans="1:44" ht="16.5" hidden="1" thickBot="1">
      <c r="A26" s="214"/>
      <c r="B26" s="214"/>
      <c r="C26" s="214"/>
      <c r="D26" s="214"/>
      <c r="E26" s="214"/>
      <c r="F26" s="214"/>
      <c r="G26" s="214"/>
      <c r="H26" s="214"/>
      <c r="I26" s="214"/>
      <c r="J26" s="214"/>
      <c r="K26" s="214"/>
      <c r="L26" s="214"/>
      <c r="M26" s="23"/>
      <c r="N26" s="23"/>
      <c r="X26" s="23"/>
      <c r="Y26" s="23"/>
      <c r="Z26" s="23"/>
      <c r="AA26" s="23"/>
      <c r="AB26" s="23"/>
      <c r="AN26" s="848" t="s">
        <v>424</v>
      </c>
      <c r="AO26" s="848"/>
      <c r="AP26" s="848"/>
      <c r="AQ26" s="848"/>
      <c r="AR26" s="848"/>
    </row>
    <row r="27" spans="1:44" s="481" customFormat="1" ht="16.5" hidden="1" thickBot="1">
      <c r="A27" s="483"/>
      <c r="B27" s="484"/>
      <c r="C27" s="484"/>
      <c r="D27" s="485"/>
      <c r="E27" s="484"/>
      <c r="F27" s="484"/>
      <c r="G27" s="484"/>
      <c r="H27" s="484"/>
      <c r="I27" s="484"/>
      <c r="M27" s="486"/>
      <c r="N27" s="486"/>
      <c r="X27" s="486"/>
      <c r="Y27" s="486"/>
      <c r="Z27" s="486"/>
      <c r="AA27" s="486"/>
      <c r="AB27" s="486"/>
      <c r="AN27" s="849" t="s">
        <v>424</v>
      </c>
      <c r="AO27" s="849"/>
      <c r="AP27" s="849"/>
      <c r="AQ27" s="849"/>
      <c r="AR27" s="849"/>
    </row>
    <row r="28" spans="1:44" hidden="1">
      <c r="A28" s="214"/>
      <c r="B28" s="214"/>
      <c r="C28" s="214"/>
      <c r="D28" s="214"/>
      <c r="E28" s="214"/>
      <c r="F28" s="214"/>
      <c r="G28" s="214"/>
      <c r="H28" s="214"/>
      <c r="I28" s="214"/>
      <c r="M28" s="23"/>
      <c r="N28" s="23"/>
      <c r="X28" s="23"/>
      <c r="Y28" s="23"/>
      <c r="Z28" s="23"/>
      <c r="AA28" s="23"/>
      <c r="AB28" s="23"/>
    </row>
    <row r="29" spans="1:44" hidden="1">
      <c r="A29" s="328" t="s">
        <v>425</v>
      </c>
      <c r="C29" s="20">
        <v>44086</v>
      </c>
      <c r="D29" s="20" t="s">
        <v>426</v>
      </c>
      <c r="E29" s="214"/>
      <c r="F29" s="214"/>
      <c r="G29" s="214"/>
      <c r="H29" s="214"/>
      <c r="I29" s="214"/>
      <c r="M29" s="23"/>
      <c r="N29" s="23"/>
      <c r="X29" s="23"/>
      <c r="Y29" s="23"/>
      <c r="Z29" s="23"/>
      <c r="AA29" s="23"/>
      <c r="AB29" s="23"/>
    </row>
    <row r="30" spans="1:44" hidden="1">
      <c r="A30" s="214"/>
      <c r="B30" s="214"/>
      <c r="C30" s="214"/>
      <c r="D30" s="214"/>
      <c r="E30" s="214"/>
      <c r="F30" s="214"/>
      <c r="G30" s="214"/>
      <c r="H30" s="214"/>
      <c r="I30" s="214"/>
      <c r="M30" s="23"/>
      <c r="N30" s="23"/>
      <c r="X30" s="23"/>
      <c r="Y30" s="23"/>
      <c r="Z30" s="23"/>
      <c r="AA30" s="23"/>
      <c r="AB30" s="23"/>
    </row>
    <row r="31" spans="1:44" ht="15.75" hidden="1">
      <c r="A31" s="423" t="s">
        <v>427</v>
      </c>
      <c r="B31" s="424"/>
      <c r="C31" s="424"/>
      <c r="D31" s="424"/>
      <c r="E31" s="424"/>
      <c r="F31" s="424"/>
      <c r="G31" s="424"/>
      <c r="H31" s="424"/>
      <c r="I31" s="214"/>
      <c r="M31" s="23"/>
      <c r="N31" s="23"/>
      <c r="X31" s="23"/>
      <c r="Y31" s="23"/>
      <c r="Z31" s="23"/>
      <c r="AA31" s="23"/>
      <c r="AB31" s="23"/>
    </row>
    <row r="32" spans="1:44" ht="15.75" hidden="1">
      <c r="A32" s="346" t="s">
        <v>428</v>
      </c>
      <c r="B32" s="346"/>
      <c r="C32" s="346"/>
      <c r="D32" s="346"/>
      <c r="E32" s="345"/>
      <c r="F32" s="345"/>
      <c r="G32" s="345"/>
      <c r="H32" s="345"/>
      <c r="I32" s="214"/>
      <c r="J32" s="125" t="s">
        <v>429</v>
      </c>
      <c r="K32" s="124"/>
      <c r="L32" s="124"/>
      <c r="M32" s="23"/>
      <c r="N32" s="23"/>
      <c r="O32" s="346" t="s">
        <v>430</v>
      </c>
      <c r="P32" s="347"/>
      <c r="Q32" s="347"/>
      <c r="S32" s="125" t="s">
        <v>429</v>
      </c>
      <c r="T32" s="124"/>
      <c r="U32" s="85"/>
      <c r="V32" s="346" t="s">
        <v>431</v>
      </c>
      <c r="W32" s="347"/>
      <c r="X32" s="347"/>
      <c r="Y32" s="347"/>
      <c r="Z32" s="23"/>
      <c r="AA32" s="23"/>
      <c r="AB32" s="23"/>
      <c r="AC32" s="346" t="s">
        <v>432</v>
      </c>
      <c r="AD32" s="346"/>
      <c r="AE32" s="346"/>
      <c r="AF32" s="346"/>
      <c r="AG32" s="346"/>
      <c r="AH32" s="345"/>
      <c r="AI32" s="345"/>
      <c r="AJ32" s="347"/>
      <c r="AK32" s="347"/>
      <c r="AL32" s="347"/>
      <c r="AM32" s="347"/>
      <c r="AN32" s="347"/>
      <c r="AO32" s="347"/>
    </row>
    <row r="33" spans="1:44" ht="25.5" hidden="1" customHeight="1">
      <c r="A33" s="214"/>
      <c r="B33" s="214"/>
      <c r="C33" s="214"/>
      <c r="D33" s="214"/>
      <c r="E33" s="214"/>
      <c r="F33" s="214"/>
      <c r="G33" s="214"/>
      <c r="H33" s="214"/>
      <c r="I33" s="214"/>
      <c r="J33" s="125" t="s">
        <v>433</v>
      </c>
      <c r="K33" s="124"/>
      <c r="L33" s="126">
        <v>38818000</v>
      </c>
      <c r="M33" s="23"/>
      <c r="N33" s="23"/>
      <c r="S33" s="124"/>
      <c r="T33" s="124"/>
      <c r="U33" s="85"/>
      <c r="Z33" s="23"/>
      <c r="AA33" s="23"/>
      <c r="AB33" s="23"/>
      <c r="AE33" s="354" t="s">
        <v>434</v>
      </c>
      <c r="AF33" s="352"/>
      <c r="AG33" s="350" t="s">
        <v>435</v>
      </c>
      <c r="AH33" s="350"/>
      <c r="AI33" s="350"/>
      <c r="AJ33" s="353"/>
      <c r="AK33" s="351" t="s">
        <v>436</v>
      </c>
    </row>
    <row r="34" spans="1:44" ht="15.75" hidden="1">
      <c r="A34" s="139" t="s">
        <v>391</v>
      </c>
      <c r="B34" s="139"/>
      <c r="C34" s="139" t="s">
        <v>392</v>
      </c>
      <c r="D34" s="139" t="s">
        <v>393</v>
      </c>
      <c r="E34" s="139" t="s">
        <v>394</v>
      </c>
      <c r="F34" s="139" t="s">
        <v>395</v>
      </c>
      <c r="G34" s="139" t="s">
        <v>396</v>
      </c>
      <c r="H34" s="139" t="s">
        <v>397</v>
      </c>
      <c r="I34" s="214"/>
      <c r="J34" s="125" t="s">
        <v>437</v>
      </c>
      <c r="K34" s="236"/>
      <c r="L34" s="126">
        <f>38818000-T34</f>
        <v>37689784.200000003</v>
      </c>
      <c r="M34" s="23"/>
      <c r="N34" s="23"/>
      <c r="S34" s="125" t="s">
        <v>438</v>
      </c>
      <c r="T34" s="126">
        <v>1128215.8</v>
      </c>
      <c r="U34" s="93"/>
      <c r="V34" s="125" t="s">
        <v>439</v>
      </c>
      <c r="W34" s="124"/>
      <c r="Z34" s="23"/>
      <c r="AA34" s="23"/>
      <c r="AB34" s="23"/>
      <c r="AC34" s="139" t="s">
        <v>399</v>
      </c>
      <c r="AD34" s="139"/>
      <c r="AE34" s="139" t="s">
        <v>400</v>
      </c>
      <c r="AF34" s="813"/>
      <c r="AG34" s="139" t="s">
        <v>401</v>
      </c>
      <c r="AH34" s="139" t="s">
        <v>402</v>
      </c>
      <c r="AI34" s="139" t="s">
        <v>403</v>
      </c>
      <c r="AJ34" s="813"/>
      <c r="AK34" s="228" t="s">
        <v>440</v>
      </c>
    </row>
    <row r="35" spans="1:44" ht="15.75" hidden="1">
      <c r="A35" s="282">
        <v>2018</v>
      </c>
      <c r="B35" s="282"/>
      <c r="C35" s="282"/>
      <c r="D35" s="282"/>
      <c r="E35" s="282"/>
      <c r="F35" s="282"/>
      <c r="G35" s="282"/>
      <c r="H35" s="282"/>
      <c r="J35" s="125" t="s">
        <v>441</v>
      </c>
      <c r="K35" s="238"/>
      <c r="L35" s="126">
        <v>3274</v>
      </c>
      <c r="M35" s="23"/>
      <c r="N35" s="23"/>
      <c r="O35" s="282">
        <v>2018</v>
      </c>
      <c r="P35" s="282"/>
      <c r="Q35" s="282"/>
      <c r="S35" s="125" t="s">
        <v>442</v>
      </c>
      <c r="T35" s="126">
        <v>26</v>
      </c>
      <c r="U35" s="93"/>
      <c r="V35" s="124"/>
      <c r="W35" s="124"/>
      <c r="X35" s="104"/>
      <c r="Z35" s="23"/>
      <c r="AA35" s="23"/>
      <c r="AB35" s="23"/>
      <c r="AC35" s="290">
        <v>2018</v>
      </c>
      <c r="AD35" s="813"/>
      <c r="AE35" s="813"/>
      <c r="AF35" s="813"/>
      <c r="AG35" s="813"/>
      <c r="AH35" s="813"/>
      <c r="AI35" s="813"/>
      <c r="AJ35" s="813"/>
      <c r="AK35" s="813"/>
      <c r="AM35" s="355" t="s">
        <v>443</v>
      </c>
      <c r="AN35" s="238"/>
      <c r="AO35" s="126"/>
    </row>
    <row r="36" spans="1:44" ht="15.75" hidden="1">
      <c r="A36" s="278" t="s">
        <v>28</v>
      </c>
      <c r="B36" s="279"/>
      <c r="C36" s="284">
        <f>$E$36*C37</f>
        <v>25902</v>
      </c>
      <c r="D36" s="284">
        <f>$E$36*D37</f>
        <v>16116.800000000001</v>
      </c>
      <c r="E36" s="284">
        <f>L36</f>
        <v>11512</v>
      </c>
      <c r="F36" s="284">
        <f>$E$36*F37</f>
        <v>4604.7999999999993</v>
      </c>
      <c r="G36" s="284">
        <f>$E$36*G37</f>
        <v>2302.3999999999996</v>
      </c>
      <c r="H36" s="284">
        <f>$E$36*H37</f>
        <v>1439</v>
      </c>
      <c r="J36" s="125" t="s">
        <v>444</v>
      </c>
      <c r="K36" s="238"/>
      <c r="L36" s="132">
        <f>ROUND((L34)/L35,0)</f>
        <v>11512</v>
      </c>
      <c r="M36" s="23"/>
      <c r="N36" s="23"/>
      <c r="O36" s="178"/>
      <c r="P36" s="178"/>
      <c r="Q36" s="139"/>
      <c r="S36" s="125" t="s">
        <v>445</v>
      </c>
      <c r="T36" s="126">
        <f>ROUND(T34/T35-L36,0)</f>
        <v>31881</v>
      </c>
      <c r="U36" s="93"/>
      <c r="V36" s="125" t="s">
        <v>446</v>
      </c>
      <c r="W36" s="126">
        <v>193976.01</v>
      </c>
      <c r="X36" s="139"/>
      <c r="Z36" s="23"/>
      <c r="AA36" s="23"/>
      <c r="AB36" s="23"/>
      <c r="AC36" s="177"/>
      <c r="AD36" s="178"/>
      <c r="AE36" s="229"/>
      <c r="AF36" s="813"/>
      <c r="AG36" s="229"/>
      <c r="AH36" s="229"/>
      <c r="AI36" s="229"/>
      <c r="AJ36" s="813"/>
      <c r="AK36" s="229"/>
      <c r="AM36" s="125" t="s">
        <v>447</v>
      </c>
      <c r="AN36" s="238"/>
      <c r="AO36" s="126">
        <v>25179000</v>
      </c>
    </row>
    <row r="37" spans="1:44" ht="15.75" hidden="1">
      <c r="A37" s="104" t="s">
        <v>407</v>
      </c>
      <c r="B37" s="85"/>
      <c r="C37" s="237">
        <v>2.25</v>
      </c>
      <c r="D37" s="237">
        <v>1.4000000000000001</v>
      </c>
      <c r="E37" s="237">
        <v>1</v>
      </c>
      <c r="F37" s="237">
        <v>0.39999999999999991</v>
      </c>
      <c r="G37" s="237">
        <v>0.19999999999999996</v>
      </c>
      <c r="H37" s="237">
        <v>0.125</v>
      </c>
      <c r="M37" s="23"/>
      <c r="N37" s="23"/>
      <c r="O37" s="278" t="s">
        <v>28</v>
      </c>
      <c r="P37" s="279"/>
      <c r="Q37" s="280">
        <f>T36</f>
        <v>31881</v>
      </c>
      <c r="S37" s="104"/>
      <c r="T37" s="93"/>
      <c r="U37" s="93"/>
      <c r="V37" s="125" t="s">
        <v>448</v>
      </c>
      <c r="W37" s="361">
        <v>18</v>
      </c>
      <c r="X37" s="142"/>
      <c r="Z37" s="23"/>
      <c r="AA37" s="23"/>
      <c r="AB37" s="23"/>
      <c r="AC37" s="278" t="s">
        <v>28</v>
      </c>
      <c r="AD37" s="279"/>
      <c r="AE37" s="280">
        <f>ROUND(11424.2286751361,2)</f>
        <v>11424.23</v>
      </c>
      <c r="AF37" s="813"/>
      <c r="AG37" s="280">
        <f>ROUND(1248.68616490682,2)</f>
        <v>1248.69</v>
      </c>
      <c r="AH37" s="280">
        <f>ROUND(5500.49617081802,2)</f>
        <v>5500.5</v>
      </c>
      <c r="AI37" s="280">
        <f>ROUND(19455.8070229914,2)</f>
        <v>19455.810000000001</v>
      </c>
      <c r="AJ37" s="813"/>
      <c r="AK37" s="400">
        <f>ROUND(806.334565431178,2)</f>
        <v>806.33</v>
      </c>
      <c r="AM37" s="125" t="s">
        <v>449</v>
      </c>
      <c r="AN37" s="238"/>
      <c r="AO37" s="126">
        <v>30560000</v>
      </c>
    </row>
    <row r="38" spans="1:44" s="55" customFormat="1" ht="24.75" hidden="1" customHeight="1">
      <c r="D38" s="57"/>
      <c r="F38" s="54"/>
      <c r="G38" s="54"/>
      <c r="J38" s="852" t="s">
        <v>450</v>
      </c>
      <c r="K38" s="852"/>
      <c r="M38" s="56"/>
      <c r="N38" s="56"/>
      <c r="O38"/>
      <c r="P38"/>
      <c r="Q38"/>
      <c r="R38"/>
      <c r="S38"/>
      <c r="T38"/>
      <c r="U38"/>
      <c r="V38" s="125" t="s">
        <v>451</v>
      </c>
      <c r="W38" s="126">
        <f>W36/W37</f>
        <v>10776.445</v>
      </c>
      <c r="X38"/>
      <c r="Y38"/>
      <c r="Z38" s="56"/>
      <c r="AA38" s="56"/>
      <c r="AB38" s="56"/>
      <c r="AC38" s="214"/>
      <c r="AE38" s="227"/>
      <c r="AF38" s="813"/>
      <c r="AG38" s="227"/>
      <c r="AH38" s="227"/>
      <c r="AI38" s="227"/>
      <c r="AJ38" s="813"/>
      <c r="AK38" s="227"/>
      <c r="AM38" s="125" t="s">
        <v>436</v>
      </c>
      <c r="AN38" s="238"/>
      <c r="AO38" s="126">
        <v>23778000</v>
      </c>
    </row>
    <row r="39" spans="1:44" ht="15.75" hidden="1">
      <c r="A39" s="282">
        <v>2019</v>
      </c>
      <c r="B39" s="282"/>
      <c r="C39" s="282"/>
      <c r="D39" s="282"/>
      <c r="E39" s="282"/>
      <c r="F39" s="282"/>
      <c r="G39" s="282"/>
      <c r="H39" s="282"/>
      <c r="L39" s="2"/>
      <c r="O39" s="282">
        <v>2019</v>
      </c>
      <c r="P39" s="282"/>
      <c r="Q39" s="282"/>
      <c r="T39" s="356"/>
      <c r="V39" s="125" t="s">
        <v>452</v>
      </c>
      <c r="W39" s="124">
        <v>660000</v>
      </c>
      <c r="X39" s="104"/>
      <c r="AC39" s="290">
        <v>2019</v>
      </c>
      <c r="AD39" s="813"/>
      <c r="AE39" s="813"/>
      <c r="AF39" s="813"/>
      <c r="AG39" s="813"/>
      <c r="AH39" s="813"/>
      <c r="AI39" s="813"/>
      <c r="AJ39" s="813"/>
      <c r="AK39" s="813"/>
      <c r="AM39" s="125"/>
      <c r="AN39" s="238"/>
      <c r="AO39" s="126"/>
    </row>
    <row r="40" spans="1:44" ht="15.75" hidden="1">
      <c r="A40" s="177">
        <v>2018</v>
      </c>
      <c r="B40" s="178">
        <v>0.98545935228023795</v>
      </c>
      <c r="C40" s="139"/>
      <c r="D40" s="263" t="s">
        <v>418</v>
      </c>
      <c r="E40" s="177">
        <v>151.30000000000001</v>
      </c>
      <c r="F40" s="263" t="s">
        <v>419</v>
      </c>
      <c r="G40" s="177">
        <v>149.1</v>
      </c>
      <c r="H40" s="139"/>
      <c r="J40" s="214" t="s">
        <v>420</v>
      </c>
      <c r="O40" s="178" t="s">
        <v>453</v>
      </c>
      <c r="P40" s="178">
        <f>B40</f>
        <v>0.98545935228023795</v>
      </c>
      <c r="Q40" s="139"/>
      <c r="V40" s="125" t="s">
        <v>454</v>
      </c>
      <c r="W40" s="124">
        <v>60</v>
      </c>
      <c r="X40" s="139"/>
      <c r="AC40" s="178" t="s">
        <v>455</v>
      </c>
      <c r="AD40" s="230">
        <f>P40</f>
        <v>0.98545935228023795</v>
      </c>
      <c r="AE40" s="229"/>
      <c r="AF40" s="813"/>
      <c r="AG40" s="229"/>
      <c r="AH40" s="229"/>
      <c r="AI40" s="229"/>
      <c r="AJ40" s="813"/>
      <c r="AK40" s="229"/>
      <c r="AM40" s="125"/>
      <c r="AN40" s="238"/>
      <c r="AO40" s="132"/>
    </row>
    <row r="41" spans="1:44" ht="15.75" hidden="1">
      <c r="A41" s="278" t="s">
        <v>28</v>
      </c>
      <c r="B41" s="284"/>
      <c r="C41" s="284">
        <f>C36*$B$40</f>
        <v>25525.368142762723</v>
      </c>
      <c r="D41" s="284">
        <f t="shared" ref="D41:H41" si="2">D36*$B$40</f>
        <v>15882.45128883014</v>
      </c>
      <c r="E41" s="284">
        <f t="shared" si="2"/>
        <v>11344.6080634501</v>
      </c>
      <c r="F41" s="284">
        <f t="shared" si="2"/>
        <v>4537.8432253800393</v>
      </c>
      <c r="G41" s="284">
        <f t="shared" si="2"/>
        <v>2268.9216126900196</v>
      </c>
      <c r="H41" s="284">
        <f t="shared" si="2"/>
        <v>1418.0760079312624</v>
      </c>
      <c r="O41" s="278" t="s">
        <v>28</v>
      </c>
      <c r="P41" s="279"/>
      <c r="Q41" s="399">
        <f>ROUND(P40*Q37,5)</f>
        <v>31417.429609999999</v>
      </c>
      <c r="V41" s="125" t="s">
        <v>451</v>
      </c>
      <c r="W41" s="126">
        <f>W39/W40</f>
        <v>11000</v>
      </c>
      <c r="X41" s="142"/>
      <c r="AC41" s="278" t="s">
        <v>28</v>
      </c>
      <c r="AD41" s="279"/>
      <c r="AE41" s="280">
        <f>ROUND($AD$40*AE37,2)</f>
        <v>11258.11</v>
      </c>
      <c r="AF41" s="813"/>
      <c r="AG41" s="280">
        <f>ROUND($AD$40*AG37,2)</f>
        <v>1230.53</v>
      </c>
      <c r="AH41" s="280">
        <f>ROUND($AD$40*AH37,2)</f>
        <v>5420.52</v>
      </c>
      <c r="AI41" s="280">
        <f>ROUND($AD$40*AI37,2)</f>
        <v>19172.91</v>
      </c>
      <c r="AJ41" s="813"/>
      <c r="AK41" s="280">
        <f>ROUND($AD$40*AK37,2)</f>
        <v>794.61</v>
      </c>
      <c r="AM41" s="125" t="s">
        <v>456</v>
      </c>
      <c r="AN41" s="238"/>
      <c r="AO41" s="126">
        <v>2204</v>
      </c>
      <c r="AR41" s="378">
        <f>AO36/AO41</f>
        <v>11424.228675136115</v>
      </c>
    </row>
    <row r="42" spans="1:44" ht="15.75" hidden="1">
      <c r="E42" s="770"/>
      <c r="V42" s="125" t="s">
        <v>457</v>
      </c>
      <c r="W42" s="126">
        <v>50000</v>
      </c>
      <c r="AC42" s="214"/>
      <c r="AD42" s="230"/>
      <c r="AE42" s="227"/>
      <c r="AF42" s="813"/>
      <c r="AG42" s="227"/>
      <c r="AH42" s="227"/>
      <c r="AI42" s="227"/>
      <c r="AJ42" s="813"/>
      <c r="AK42" s="227"/>
      <c r="AM42" s="125" t="s">
        <v>458</v>
      </c>
      <c r="AN42" s="238"/>
      <c r="AO42" s="126">
        <v>29489</v>
      </c>
      <c r="AR42" s="378">
        <f>AO38/AO42</f>
        <v>806.33456543117768</v>
      </c>
    </row>
    <row r="43" spans="1:44" ht="16.5" hidden="1" thickBot="1">
      <c r="A43" s="282">
        <v>2020</v>
      </c>
      <c r="B43" s="282"/>
      <c r="C43" s="282"/>
      <c r="D43" s="282"/>
      <c r="E43" s="282"/>
      <c r="F43" s="282"/>
      <c r="G43" s="282"/>
      <c r="H43" s="282"/>
      <c r="O43" s="282">
        <v>2020</v>
      </c>
      <c r="P43" s="282"/>
      <c r="Q43" s="282"/>
      <c r="V43" s="125" t="s">
        <v>454</v>
      </c>
      <c r="W43" s="126">
        <v>7</v>
      </c>
      <c r="X43" s="104"/>
      <c r="AC43" s="290">
        <v>2020</v>
      </c>
      <c r="AD43" s="813"/>
      <c r="AE43" s="813"/>
      <c r="AF43" s="813"/>
      <c r="AG43" s="813"/>
      <c r="AH43" s="813"/>
      <c r="AI43" s="813"/>
      <c r="AJ43" s="813"/>
      <c r="AK43" s="813"/>
      <c r="AM43" s="125" t="s">
        <v>459</v>
      </c>
      <c r="AN43" s="238"/>
      <c r="AO43" s="126">
        <v>6401</v>
      </c>
      <c r="AQ43" s="374" t="s">
        <v>460</v>
      </c>
      <c r="AR43" s="375">
        <f>AO37/AO43</f>
        <v>4774.2540228089365</v>
      </c>
    </row>
    <row r="44" spans="1:44" ht="17.25" hidden="1" thickTop="1" thickBot="1">
      <c r="A44" s="261" t="s">
        <v>421</v>
      </c>
      <c r="B44" s="262">
        <v>1.0090543259557343</v>
      </c>
      <c r="C44" s="139"/>
      <c r="D44" s="263" t="s">
        <v>419</v>
      </c>
      <c r="E44" s="177">
        <v>99.4</v>
      </c>
      <c r="F44" s="263" t="s">
        <v>422</v>
      </c>
      <c r="G44" s="177">
        <v>100.3</v>
      </c>
      <c r="H44" s="139"/>
      <c r="J44" s="214" t="s">
        <v>423</v>
      </c>
      <c r="O44" s="178" t="str">
        <f>A44</f>
        <v>Indexförändring 2019</v>
      </c>
      <c r="P44" s="178">
        <f>B44</f>
        <v>1.0090543259557343</v>
      </c>
      <c r="Q44" s="139"/>
      <c r="V44" s="125" t="s">
        <v>451</v>
      </c>
      <c r="W44" s="126">
        <f>W42/W43</f>
        <v>7142.8571428571431</v>
      </c>
      <c r="X44" s="139"/>
      <c r="AC44" s="178" t="s">
        <v>455</v>
      </c>
      <c r="AD44" s="178">
        <v>1.0090543259557343</v>
      </c>
      <c r="AE44" s="229"/>
      <c r="AF44" s="813"/>
      <c r="AG44" s="229"/>
      <c r="AH44" s="229"/>
      <c r="AI44" s="229"/>
      <c r="AJ44" s="813"/>
      <c r="AK44" s="229"/>
      <c r="AM44" s="125"/>
      <c r="AN44" s="238"/>
      <c r="AO44" s="132"/>
      <c r="AR44" s="401">
        <f>ROUND(AO38/AO42,2)</f>
        <v>806.33</v>
      </c>
    </row>
    <row r="45" spans="1:44" ht="16.5" hidden="1" thickTop="1">
      <c r="A45" s="278" t="s">
        <v>28</v>
      </c>
      <c r="B45" s="284"/>
      <c r="C45" s="284">
        <f>C41*$B$44</f>
        <v>25756.483146067414</v>
      </c>
      <c r="D45" s="284">
        <f t="shared" ref="D45:H45" si="3">D41*$B$44</f>
        <v>16026.256179775281</v>
      </c>
      <c r="E45" s="284">
        <f t="shared" si="3"/>
        <v>11447.325842696628</v>
      </c>
      <c r="F45" s="284">
        <f t="shared" si="3"/>
        <v>4578.9303370786511</v>
      </c>
      <c r="G45" s="284">
        <f t="shared" si="3"/>
        <v>2289.4651685393255</v>
      </c>
      <c r="H45" s="284">
        <f t="shared" si="3"/>
        <v>1430.9157303370785</v>
      </c>
      <c r="O45" s="278" t="s">
        <v>28</v>
      </c>
      <c r="P45" s="279"/>
      <c r="Q45" s="280">
        <f>ROUND(P44*Q41,2)</f>
        <v>31701.89</v>
      </c>
      <c r="X45" s="142"/>
      <c r="AC45" s="278" t="s">
        <v>28</v>
      </c>
      <c r="AD45" s="279"/>
      <c r="AE45" s="280">
        <f>ROUND($AD$44*AE41,2)</f>
        <v>11360.04</v>
      </c>
      <c r="AF45" s="813"/>
      <c r="AG45" s="280">
        <f>ROUND($AD$44*AG41,2)</f>
        <v>1241.67</v>
      </c>
      <c r="AH45" s="280">
        <f t="shared" ref="AH45:AK45" si="4">ROUND($AD$44*AH41,2)</f>
        <v>5469.6</v>
      </c>
      <c r="AI45" s="280">
        <f t="shared" si="4"/>
        <v>19346.509999999998</v>
      </c>
      <c r="AJ45" s="813"/>
      <c r="AK45" s="280">
        <f t="shared" si="4"/>
        <v>801.8</v>
      </c>
    </row>
    <row r="46" spans="1:44" ht="15.75" hidden="1">
      <c r="V46" s="104"/>
      <c r="W46" s="93"/>
      <c r="AF46" s="813"/>
      <c r="AJ46" s="813"/>
    </row>
    <row r="47" spans="1:44" ht="16.5" hidden="1" thickBot="1">
      <c r="A47" s="282">
        <v>2021</v>
      </c>
      <c r="B47" s="282"/>
      <c r="C47" s="282"/>
      <c r="D47" s="282"/>
      <c r="E47" s="282"/>
      <c r="F47" s="282"/>
      <c r="G47" s="282"/>
      <c r="H47" s="282"/>
      <c r="J47" s="125" t="s">
        <v>461</v>
      </c>
      <c r="K47" s="238"/>
      <c r="L47" s="126"/>
      <c r="O47" s="282">
        <v>2021</v>
      </c>
      <c r="P47" s="282"/>
      <c r="Q47" s="282"/>
      <c r="V47" s="282">
        <v>2021</v>
      </c>
      <c r="W47" s="282"/>
      <c r="X47" s="282"/>
      <c r="AC47" s="290">
        <v>2021</v>
      </c>
      <c r="AD47" s="813"/>
      <c r="AE47" s="813"/>
      <c r="AF47" s="813"/>
      <c r="AG47" s="813"/>
      <c r="AH47" s="813"/>
      <c r="AI47" s="813"/>
      <c r="AJ47" s="813"/>
      <c r="AK47" s="813"/>
      <c r="AM47" s="355" t="s">
        <v>461</v>
      </c>
      <c r="AN47" s="238"/>
      <c r="AO47" s="126"/>
    </row>
    <row r="48" spans="1:44" ht="17.25" hidden="1" thickTop="1" thickBot="1">
      <c r="A48" s="349" t="s">
        <v>462</v>
      </c>
      <c r="B48" s="402">
        <f>(G48/E48)</f>
        <v>1.0179461615154537</v>
      </c>
      <c r="C48" s="139"/>
      <c r="D48" s="263" t="s">
        <v>422</v>
      </c>
      <c r="E48" s="348">
        <v>100.3</v>
      </c>
      <c r="F48" s="263" t="s">
        <v>463</v>
      </c>
      <c r="G48" s="404">
        <v>102.1</v>
      </c>
      <c r="H48" s="139"/>
      <c r="J48" s="125" t="s">
        <v>464</v>
      </c>
      <c r="K48" s="238"/>
      <c r="L48" s="126">
        <v>30000</v>
      </c>
      <c r="O48" s="178" t="str">
        <f>A48</f>
        <v>Indexförändring 2020</v>
      </c>
      <c r="P48" s="403">
        <f>B48</f>
        <v>1.0179461615154537</v>
      </c>
      <c r="Q48" s="139"/>
      <c r="V48" s="278" t="s">
        <v>465</v>
      </c>
      <c r="W48" s="279"/>
      <c r="X48" s="280">
        <f>ROUND(W38*B40*B44*B48,2)</f>
        <v>10908.21</v>
      </c>
      <c r="Y48" s="142" t="s">
        <v>466</v>
      </c>
      <c r="AC48" s="178" t="s">
        <v>455</v>
      </c>
      <c r="AD48" s="403">
        <f>B48</f>
        <v>1.0179461615154537</v>
      </c>
      <c r="AE48" s="229"/>
      <c r="AF48" s="813"/>
      <c r="AG48" s="229"/>
      <c r="AH48" s="229"/>
      <c r="AI48" s="229"/>
      <c r="AJ48" s="813"/>
      <c r="AK48" s="229"/>
      <c r="AM48" s="355" t="s">
        <v>447</v>
      </c>
      <c r="AN48" s="238"/>
      <c r="AO48" s="126"/>
    </row>
    <row r="49" spans="1:44" ht="16.5" hidden="1" thickTop="1">
      <c r="A49" s="278" t="s">
        <v>28</v>
      </c>
      <c r="B49" s="284"/>
      <c r="C49" s="284">
        <f>ROUND(C45*$B$48+L50*C9,2)</f>
        <v>26238.41</v>
      </c>
      <c r="D49" s="284">
        <f>ROUND(D45*$B$48+L50*D9,2)</f>
        <v>16326.12</v>
      </c>
      <c r="E49" s="284">
        <f>ROUND(E45*$B$48+L50,2)</f>
        <v>11661.52</v>
      </c>
      <c r="F49" s="284">
        <f>ROUND(F45*$B$48+L50*F9,2)</f>
        <v>4664.6099999999997</v>
      </c>
      <c r="G49" s="284">
        <f>ROUND(G45*$B$48+L50*G9,2)</f>
        <v>2332.3000000000002</v>
      </c>
      <c r="H49" s="284">
        <f>ROUND(H45*$B$48+L50*H9,2)</f>
        <v>1457.69</v>
      </c>
      <c r="J49" s="125" t="s">
        <v>467</v>
      </c>
      <c r="K49" s="238"/>
      <c r="L49" s="126">
        <v>3427</v>
      </c>
      <c r="O49" s="278" t="s">
        <v>28</v>
      </c>
      <c r="P49" s="279"/>
      <c r="Q49" s="280">
        <f>ROUND(P48*Q45,2)</f>
        <v>32270.82</v>
      </c>
      <c r="V49" s="278" t="s">
        <v>468</v>
      </c>
      <c r="W49" s="279"/>
      <c r="X49" s="280">
        <f>W41</f>
        <v>11000</v>
      </c>
      <c r="AC49" s="278" t="s">
        <v>28</v>
      </c>
      <c r="AD49" s="279"/>
      <c r="AE49" s="280">
        <f>ROUND((($AD$48*AE45)+(AO49+AO50)/AO51),2)</f>
        <v>11790.77</v>
      </c>
      <c r="AF49" s="813"/>
      <c r="AG49" s="280">
        <f>ROUND($AD$48*AG45,2)</f>
        <v>1263.95</v>
      </c>
      <c r="AH49" s="280">
        <f t="shared" ref="AH49:AI49" si="5">ROUND($AD$48*AH45,2)</f>
        <v>5567.76</v>
      </c>
      <c r="AI49" s="280">
        <f t="shared" si="5"/>
        <v>19693.71</v>
      </c>
      <c r="AJ49" s="813"/>
      <c r="AK49" s="280">
        <f>ROUND((($AD$48*AK45)+(AO54+AO55-AO56)/AO57),2)</f>
        <v>817.9</v>
      </c>
      <c r="AM49" s="125" t="s">
        <v>469</v>
      </c>
      <c r="AN49" s="238"/>
      <c r="AO49" s="132">
        <v>200000</v>
      </c>
    </row>
    <row r="50" spans="1:44" hidden="1">
      <c r="J50" s="125" t="s">
        <v>470</v>
      </c>
      <c r="K50" s="238"/>
      <c r="L50" s="132">
        <f>(L48)/L49</f>
        <v>8.7540122556171571</v>
      </c>
      <c r="V50" s="278" t="s">
        <v>471</v>
      </c>
      <c r="W50" s="279"/>
      <c r="X50" s="280">
        <f>ROUND(W44,2)</f>
        <v>7142.86</v>
      </c>
      <c r="AM50" s="125" t="s">
        <v>472</v>
      </c>
      <c r="AN50" s="238"/>
      <c r="AO50" s="132">
        <v>300000</v>
      </c>
    </row>
    <row r="51" spans="1:44" ht="16.5" hidden="1" thickBot="1">
      <c r="A51" s="282">
        <v>2022</v>
      </c>
      <c r="B51" s="282"/>
      <c r="C51" s="282"/>
      <c r="D51" s="282"/>
      <c r="E51" s="282"/>
      <c r="F51" s="282"/>
      <c r="G51" s="282"/>
      <c r="H51" s="282"/>
      <c r="O51" s="282">
        <v>2022</v>
      </c>
      <c r="P51" s="282"/>
      <c r="Q51" s="282"/>
      <c r="AC51" s="290">
        <v>2022</v>
      </c>
      <c r="AD51" s="813"/>
      <c r="AE51" s="813"/>
      <c r="AF51" s="813"/>
      <c r="AG51" s="813"/>
      <c r="AH51" s="813"/>
      <c r="AI51" s="813"/>
      <c r="AJ51" s="813"/>
      <c r="AK51" s="813"/>
      <c r="AM51" s="125" t="s">
        <v>473</v>
      </c>
      <c r="AN51" s="238"/>
      <c r="AO51" s="126">
        <v>2204</v>
      </c>
    </row>
    <row r="52" spans="1:44" ht="17.25" hidden="1" thickTop="1" thickBot="1">
      <c r="A52" s="349" t="s">
        <v>474</v>
      </c>
      <c r="B52" s="402">
        <f>(G52/E52)</f>
        <v>1.0205680705190989</v>
      </c>
      <c r="C52" s="139"/>
      <c r="D52" s="263" t="s">
        <v>463</v>
      </c>
      <c r="E52" s="348">
        <v>102.1</v>
      </c>
      <c r="F52" s="263" t="s">
        <v>475</v>
      </c>
      <c r="G52" s="404">
        <v>104.2</v>
      </c>
      <c r="H52" s="437"/>
      <c r="I52" s="426" t="s">
        <v>476</v>
      </c>
      <c r="J52" s="438"/>
      <c r="K52" s="356"/>
      <c r="O52" s="178" t="str">
        <f>A52</f>
        <v>Indexförändring 2021</v>
      </c>
      <c r="P52" s="403">
        <f>B52</f>
        <v>1.0205680705190989</v>
      </c>
      <c r="Q52" s="139"/>
      <c r="V52" s="282">
        <v>2022</v>
      </c>
      <c r="W52" s="282"/>
      <c r="X52" s="282"/>
      <c r="AC52" s="178" t="s">
        <v>455</v>
      </c>
      <c r="AD52" s="403">
        <f>B52</f>
        <v>1.0205680705190989</v>
      </c>
      <c r="AE52" s="229"/>
      <c r="AF52" s="813"/>
      <c r="AG52" s="229"/>
      <c r="AH52" s="229"/>
      <c r="AI52" s="229"/>
      <c r="AJ52" s="813"/>
      <c r="AK52" s="229"/>
      <c r="AM52" s="125"/>
      <c r="AN52" s="238"/>
      <c r="AO52" s="132"/>
    </row>
    <row r="53" spans="1:44" ht="16.5" hidden="1" thickTop="1">
      <c r="A53" s="278" t="s">
        <v>28</v>
      </c>
      <c r="B53" s="284"/>
      <c r="C53" s="284">
        <f>ROUND(C49*$B$52,2)</f>
        <v>26778.080000000002</v>
      </c>
      <c r="D53" s="284">
        <f t="shared" ref="D53:H53" si="6">ROUND(D49*$B$52,2)</f>
        <v>16661.919999999998</v>
      </c>
      <c r="E53" s="284">
        <f t="shared" si="6"/>
        <v>11901.37</v>
      </c>
      <c r="F53" s="284">
        <f t="shared" si="6"/>
        <v>4760.55</v>
      </c>
      <c r="G53" s="284">
        <f t="shared" si="6"/>
        <v>2380.27</v>
      </c>
      <c r="H53" s="284">
        <f t="shared" si="6"/>
        <v>1487.67</v>
      </c>
      <c r="O53" s="278" t="s">
        <v>28</v>
      </c>
      <c r="P53" s="279"/>
      <c r="Q53" s="280">
        <f>ROUND(P52*Q49,2)</f>
        <v>32934.57</v>
      </c>
      <c r="V53" s="278" t="s">
        <v>465</v>
      </c>
      <c r="W53" s="279"/>
      <c r="X53" s="280">
        <f>ROUND(X48*B52,2)</f>
        <v>11132.57</v>
      </c>
      <c r="AC53" s="278" t="s">
        <v>28</v>
      </c>
      <c r="AD53" s="279"/>
      <c r="AE53" s="280">
        <f>ROUND(AE49*$AD$52,2)</f>
        <v>12033.28</v>
      </c>
      <c r="AF53" s="813"/>
      <c r="AG53" s="280">
        <f>ROUND(AG49*$AD$52,2)</f>
        <v>1289.95</v>
      </c>
      <c r="AH53" s="280">
        <f>ROUND(AH49*$AD$52,2)</f>
        <v>5682.28</v>
      </c>
      <c r="AI53" s="280">
        <f>ROUND(AI49*$AD$52,2)</f>
        <v>20098.77</v>
      </c>
      <c r="AJ53" s="813"/>
      <c r="AK53" s="280">
        <f>ROUND(AK49*$AD$52,2)</f>
        <v>834.72</v>
      </c>
      <c r="AM53" s="355" t="s">
        <v>436</v>
      </c>
      <c r="AN53" s="238"/>
      <c r="AO53" s="132"/>
    </row>
    <row r="54" spans="1:44" hidden="1">
      <c r="A54" s="139"/>
      <c r="B54" s="139"/>
      <c r="C54" s="139"/>
      <c r="D54" s="139"/>
      <c r="E54" s="139"/>
      <c r="F54" s="139"/>
      <c r="G54" s="139"/>
      <c r="H54" s="139"/>
      <c r="J54" s="852" t="s">
        <v>477</v>
      </c>
      <c r="K54" s="852"/>
      <c r="O54" s="104"/>
      <c r="P54" s="104"/>
      <c r="Q54" s="104"/>
      <c r="V54" s="278" t="s">
        <v>468</v>
      </c>
      <c r="W54" s="279"/>
      <c r="X54" s="280">
        <f>ROUND(X49*B52,2)</f>
        <v>11226.25</v>
      </c>
      <c r="AM54" s="125" t="s">
        <v>478</v>
      </c>
      <c r="AN54" s="238"/>
      <c r="AO54" s="132">
        <v>105000</v>
      </c>
    </row>
    <row r="55" spans="1:44" ht="16.5" hidden="1" thickBot="1">
      <c r="A55" s="282">
        <v>2023</v>
      </c>
      <c r="B55" s="282"/>
      <c r="C55" s="282"/>
      <c r="D55" s="282"/>
      <c r="E55" s="282"/>
      <c r="F55" s="282"/>
      <c r="G55" s="282"/>
      <c r="H55" s="282"/>
      <c r="J55" s="852"/>
      <c r="K55" s="852"/>
      <c r="O55" s="470">
        <v>2023</v>
      </c>
      <c r="P55" s="470"/>
      <c r="Q55" s="470"/>
      <c r="V55" s="278" t="s">
        <v>471</v>
      </c>
      <c r="W55" s="279"/>
      <c r="X55" s="280">
        <f>ROUND(X50*B52,2)</f>
        <v>7289.77</v>
      </c>
      <c r="AC55" s="477">
        <v>2023</v>
      </c>
      <c r="AD55" s="814"/>
      <c r="AE55" s="814"/>
      <c r="AF55" s="814"/>
      <c r="AG55" s="814"/>
      <c r="AH55" s="814"/>
      <c r="AI55" s="814"/>
      <c r="AJ55" s="814"/>
      <c r="AK55" s="814"/>
      <c r="AM55" s="125" t="s">
        <v>479</v>
      </c>
      <c r="AN55" s="238"/>
      <c r="AO55" s="132">
        <v>140000</v>
      </c>
    </row>
    <row r="56" spans="1:44" ht="17.25" hidden="1" thickTop="1" thickBot="1">
      <c r="A56" s="464" t="s">
        <v>474</v>
      </c>
      <c r="B56" s="465">
        <f>(G56/E56)</f>
        <v>1.0364683301343569</v>
      </c>
      <c r="C56" s="466"/>
      <c r="D56" s="467" t="s">
        <v>475</v>
      </c>
      <c r="E56" s="468">
        <v>104.2</v>
      </c>
      <c r="F56" s="467" t="s">
        <v>475</v>
      </c>
      <c r="G56" s="469">
        <v>108</v>
      </c>
      <c r="H56" s="466"/>
      <c r="O56" s="473" t="str">
        <f>A56</f>
        <v>Indexförändring 2021</v>
      </c>
      <c r="P56" s="474">
        <f>B56</f>
        <v>1.0364683301343569</v>
      </c>
      <c r="Q56" s="466"/>
      <c r="R56" t="s">
        <v>480</v>
      </c>
      <c r="AC56" s="473" t="s">
        <v>455</v>
      </c>
      <c r="AD56" s="474">
        <f>B56</f>
        <v>1.0364683301343569</v>
      </c>
      <c r="AE56" s="478"/>
      <c r="AF56" s="814"/>
      <c r="AG56" s="478"/>
      <c r="AH56" s="478"/>
      <c r="AI56" s="478"/>
      <c r="AJ56" s="814"/>
      <c r="AK56" s="478"/>
      <c r="AM56" s="125" t="s">
        <v>124</v>
      </c>
      <c r="AN56" s="238"/>
      <c r="AO56" s="132">
        <v>193976</v>
      </c>
    </row>
    <row r="57" spans="1:44" ht="16.5" hidden="1" thickTop="1">
      <c r="A57" s="470" t="s">
        <v>28</v>
      </c>
      <c r="B57" s="471"/>
      <c r="C57" s="471">
        <f t="shared" ref="C57:H57" si="7">ROUND(C53*$B$56,2)</f>
        <v>27754.63</v>
      </c>
      <c r="D57" s="471">
        <f t="shared" si="7"/>
        <v>17269.55</v>
      </c>
      <c r="E57" s="471">
        <f t="shared" si="7"/>
        <v>12335.39</v>
      </c>
      <c r="F57" s="471">
        <f t="shared" si="7"/>
        <v>4934.16</v>
      </c>
      <c r="G57" s="471">
        <f t="shared" si="7"/>
        <v>2467.0700000000002</v>
      </c>
      <c r="H57" s="471">
        <f t="shared" si="7"/>
        <v>1541.92</v>
      </c>
      <c r="O57" s="470" t="s">
        <v>28</v>
      </c>
      <c r="P57" s="475"/>
      <c r="Q57" s="476">
        <f>ROUND(P56*Q53,2)</f>
        <v>34135.64</v>
      </c>
      <c r="U57" s="463"/>
      <c r="V57" s="470">
        <v>2023</v>
      </c>
      <c r="W57" s="470"/>
      <c r="X57" s="470"/>
      <c r="AC57" s="470" t="s">
        <v>28</v>
      </c>
      <c r="AD57" s="475"/>
      <c r="AE57" s="476">
        <f>ROUND(AE53*$AD$56,2)</f>
        <v>12472.11</v>
      </c>
      <c r="AF57" s="814"/>
      <c r="AG57" s="476">
        <f>ROUND(AG53*$AD$56,2)</f>
        <v>1336.99</v>
      </c>
      <c r="AH57" s="476">
        <f>ROUND(AH53*$AD$56,2)</f>
        <v>5889.5</v>
      </c>
      <c r="AI57" s="476">
        <f>ROUND(AI53*$AD$56,2)</f>
        <v>20831.740000000002</v>
      </c>
      <c r="AJ57" s="814"/>
      <c r="AK57" s="476">
        <f>ROUND(AK53*$AD$56,2)</f>
        <v>865.16</v>
      </c>
      <c r="AM57" s="125" t="s">
        <v>481</v>
      </c>
      <c r="AN57" s="238"/>
      <c r="AO57" s="132">
        <v>29884</v>
      </c>
    </row>
    <row r="58" spans="1:44" ht="33" hidden="1" customHeight="1">
      <c r="A58" s="472"/>
      <c r="B58" s="472"/>
      <c r="C58" s="472"/>
      <c r="D58" s="472"/>
      <c r="E58" s="472"/>
      <c r="F58" s="472"/>
      <c r="G58" s="472"/>
      <c r="H58" s="472"/>
      <c r="O58" s="472"/>
      <c r="P58" s="472"/>
      <c r="Q58" s="472"/>
      <c r="U58" s="463"/>
      <c r="V58" s="470" t="s">
        <v>465</v>
      </c>
      <c r="W58" s="475"/>
      <c r="X58" s="476">
        <f>ROUND(X53*B56,2)</f>
        <v>11538.56</v>
      </c>
      <c r="Y58" t="s">
        <v>480</v>
      </c>
      <c r="AC58" s="472"/>
      <c r="AD58" s="472"/>
      <c r="AE58" s="472"/>
      <c r="AF58" s="472"/>
      <c r="AG58" s="472"/>
      <c r="AH58" s="472"/>
      <c r="AI58" s="472"/>
      <c r="AJ58" s="472"/>
      <c r="AK58" s="472"/>
    </row>
    <row r="59" spans="1:44" hidden="1">
      <c r="I59" t="s">
        <v>480</v>
      </c>
      <c r="U59" s="463"/>
      <c r="V59" s="470" t="s">
        <v>468</v>
      </c>
      <c r="W59" s="475"/>
      <c r="X59" s="476">
        <f>ROUND(X54*B56,2)</f>
        <v>11635.65</v>
      </c>
      <c r="AK59" t="s">
        <v>480</v>
      </c>
    </row>
    <row r="60" spans="1:44" ht="15.75" thickBot="1">
      <c r="U60" s="463"/>
      <c r="V60" s="470" t="s">
        <v>471</v>
      </c>
      <c r="W60" s="475"/>
      <c r="X60" s="476">
        <f>ROUND(X55*B56,2)</f>
        <v>7555.62</v>
      </c>
    </row>
    <row r="61" spans="1:44" s="481" customFormat="1" ht="15.75" thickBot="1">
      <c r="A61" s="480" t="s">
        <v>482</v>
      </c>
      <c r="AE61" s="482"/>
    </row>
    <row r="62" spans="1:44" ht="15.75">
      <c r="X62" s="436"/>
      <c r="AE62" s="377"/>
      <c r="AN62" s="848" t="s">
        <v>483</v>
      </c>
      <c r="AO62" s="848"/>
      <c r="AP62" s="848"/>
      <c r="AQ62" s="848"/>
      <c r="AR62" s="848"/>
    </row>
    <row r="63" spans="1:44" ht="46.5" customHeight="1">
      <c r="A63" s="423" t="s">
        <v>484</v>
      </c>
      <c r="B63" s="424"/>
      <c r="C63" s="424"/>
      <c r="D63" s="424"/>
      <c r="E63" s="424"/>
      <c r="F63" s="424"/>
      <c r="G63" s="424"/>
      <c r="H63" s="424"/>
      <c r="O63" s="346" t="s">
        <v>430</v>
      </c>
      <c r="P63" s="347"/>
      <c r="Q63" s="347"/>
      <c r="V63" s="850" t="s">
        <v>485</v>
      </c>
      <c r="W63" s="850"/>
      <c r="X63" s="850"/>
      <c r="Y63" s="850"/>
      <c r="Z63" s="850"/>
      <c r="AC63" s="346" t="s">
        <v>432</v>
      </c>
      <c r="AD63" s="346"/>
      <c r="AE63" s="346"/>
      <c r="AF63" s="346"/>
      <c r="AG63" s="346"/>
      <c r="AH63" s="345"/>
      <c r="AI63" s="345"/>
      <c r="AJ63" s="347"/>
      <c r="AK63" s="347"/>
      <c r="AL63" s="347"/>
      <c r="AN63" s="848" t="s">
        <v>483</v>
      </c>
      <c r="AO63" s="848"/>
      <c r="AP63" s="848"/>
      <c r="AQ63" s="848"/>
      <c r="AR63" s="848"/>
    </row>
    <row r="64" spans="1:44" ht="15.75">
      <c r="A64" s="346" t="s">
        <v>428</v>
      </c>
      <c r="B64" s="346"/>
      <c r="C64" s="346"/>
      <c r="D64" s="346"/>
      <c r="E64" s="345"/>
      <c r="F64" s="345"/>
      <c r="G64" s="345"/>
      <c r="H64" s="345"/>
      <c r="O64" s="346" t="s">
        <v>486</v>
      </c>
      <c r="P64" s="347"/>
      <c r="Q64" s="347"/>
      <c r="V64" s="850"/>
      <c r="W64" s="850"/>
      <c r="X64" s="850"/>
      <c r="Y64" s="850"/>
      <c r="Z64" s="850"/>
      <c r="AN64" s="848"/>
      <c r="AO64" s="848"/>
      <c r="AP64" s="848"/>
      <c r="AQ64" s="848"/>
      <c r="AR64" s="848"/>
    </row>
    <row r="65" spans="1:49" ht="24.75">
      <c r="AE65" s="354" t="s">
        <v>434</v>
      </c>
      <c r="AF65" s="352"/>
      <c r="AG65" s="350" t="s">
        <v>435</v>
      </c>
      <c r="AH65" s="350"/>
      <c r="AI65" s="350"/>
      <c r="AJ65" s="353"/>
      <c r="AK65" s="351" t="s">
        <v>436</v>
      </c>
      <c r="AT65" s="15"/>
      <c r="AU65" s="15"/>
      <c r="AV65" s="139" t="s">
        <v>62</v>
      </c>
      <c r="AW65" s="139" t="s">
        <v>131</v>
      </c>
    </row>
    <row r="66" spans="1:49" ht="15.75">
      <c r="A66" s="139" t="s">
        <v>391</v>
      </c>
      <c r="B66" s="139"/>
      <c r="C66" s="139" t="s">
        <v>392</v>
      </c>
      <c r="D66" s="139" t="s">
        <v>393</v>
      </c>
      <c r="E66" s="139" t="s">
        <v>394</v>
      </c>
      <c r="F66" s="139" t="s">
        <v>395</v>
      </c>
      <c r="G66" s="139" t="s">
        <v>396</v>
      </c>
      <c r="H66" s="139" t="s">
        <v>397</v>
      </c>
      <c r="AA66" s="85"/>
      <c r="AB66" s="85"/>
      <c r="AC66" s="139" t="s">
        <v>399</v>
      </c>
      <c r="AD66" s="139"/>
      <c r="AE66" s="139" t="s">
        <v>400</v>
      </c>
      <c r="AF66" s="813"/>
      <c r="AG66" s="139" t="s">
        <v>401</v>
      </c>
      <c r="AH66" s="139" t="s">
        <v>402</v>
      </c>
      <c r="AI66" s="139" t="s">
        <v>403</v>
      </c>
      <c r="AJ66" s="813"/>
      <c r="AK66" s="228" t="s">
        <v>440</v>
      </c>
      <c r="AM66" s="355" t="s">
        <v>487</v>
      </c>
      <c r="AN66" s="238"/>
      <c r="AO66" s="126"/>
      <c r="AT66" s="290">
        <v>2018</v>
      </c>
      <c r="AU66" s="813"/>
      <c r="AV66" s="813"/>
      <c r="AW66" s="813"/>
    </row>
    <row r="67" spans="1:49" ht="15.75">
      <c r="A67" s="282">
        <v>2021</v>
      </c>
      <c r="B67" s="282"/>
      <c r="C67" s="282"/>
      <c r="D67" s="282"/>
      <c r="E67" s="282"/>
      <c r="F67" s="282"/>
      <c r="G67" s="282"/>
      <c r="H67" s="282"/>
      <c r="O67" s="282">
        <v>2021</v>
      </c>
      <c r="P67" s="282"/>
      <c r="Q67" s="282"/>
      <c r="W67" s="282">
        <v>2021</v>
      </c>
      <c r="X67" s="282"/>
      <c r="Y67" s="282"/>
      <c r="AA67" s="85"/>
      <c r="AB67" s="85"/>
      <c r="AC67" s="290">
        <v>2021</v>
      </c>
      <c r="AD67" s="813"/>
      <c r="AE67" s="813"/>
      <c r="AF67" s="813"/>
      <c r="AG67" s="813"/>
      <c r="AH67" s="813"/>
      <c r="AI67" s="813"/>
      <c r="AJ67" s="813"/>
      <c r="AK67" s="813"/>
      <c r="AM67" s="125" t="s">
        <v>447</v>
      </c>
      <c r="AN67" s="238"/>
      <c r="AO67" s="126">
        <f>25722000</f>
        <v>25722000</v>
      </c>
      <c r="AT67" s="177"/>
      <c r="AU67" s="177"/>
      <c r="AV67" s="139"/>
      <c r="AW67" s="139"/>
    </row>
    <row r="68" spans="1:49" ht="15.75">
      <c r="A68" s="278" t="s">
        <v>28</v>
      </c>
      <c r="B68" s="279"/>
      <c r="C68" s="284">
        <f>$E$68*C69</f>
        <v>27126</v>
      </c>
      <c r="D68" s="284">
        <f>$E$68*D69</f>
        <v>16878.400000000001</v>
      </c>
      <c r="E68" s="284">
        <f>L72</f>
        <v>12056</v>
      </c>
      <c r="F68" s="284">
        <f>$E$68*F69</f>
        <v>4822.3999999999987</v>
      </c>
      <c r="G68" s="284">
        <f>$E$68*G69</f>
        <v>2411.1999999999994</v>
      </c>
      <c r="H68" s="284">
        <f>$E$68*H69</f>
        <v>1507</v>
      </c>
      <c r="J68" s="355" t="s">
        <v>488</v>
      </c>
      <c r="K68" s="489"/>
      <c r="L68" s="489"/>
      <c r="O68" s="178"/>
      <c r="P68" s="403"/>
      <c r="Q68" s="139"/>
      <c r="S68" s="127" t="s">
        <v>488</v>
      </c>
      <c r="T68" s="128"/>
      <c r="W68" s="278" t="s">
        <v>465</v>
      </c>
      <c r="X68" s="279"/>
      <c r="Y68" s="280">
        <f>W96</f>
        <v>10295.859999999999</v>
      </c>
      <c r="AA68" s="85"/>
      <c r="AB68" s="85"/>
      <c r="AC68" s="177"/>
      <c r="AD68" s="178"/>
      <c r="AE68" s="229"/>
      <c r="AF68" s="813"/>
      <c r="AG68" s="229"/>
      <c r="AH68" s="229"/>
      <c r="AI68" s="229"/>
      <c r="AJ68" s="813"/>
      <c r="AK68" s="229"/>
      <c r="AM68" s="125" t="s">
        <v>436</v>
      </c>
      <c r="AN68" s="238"/>
      <c r="AO68" s="126">
        <f>24582000+3596000+922000+2000</f>
        <v>29102000</v>
      </c>
      <c r="AT68" s="278" t="s">
        <v>28</v>
      </c>
      <c r="AU68" s="279"/>
      <c r="AV68" s="280">
        <v>153</v>
      </c>
      <c r="AW68" s="280">
        <v>34.700000000000003</v>
      </c>
    </row>
    <row r="69" spans="1:49" ht="15.75">
      <c r="A69" s="104" t="s">
        <v>407</v>
      </c>
      <c r="B69" s="488"/>
      <c r="C69" s="237">
        <v>2.25</v>
      </c>
      <c r="D69" s="237">
        <v>1.4000000000000001</v>
      </c>
      <c r="E69" s="237">
        <v>1</v>
      </c>
      <c r="F69" s="237">
        <v>0.39999999999999991</v>
      </c>
      <c r="G69" s="237">
        <v>0.19999999999999996</v>
      </c>
      <c r="H69" s="237">
        <v>0.125</v>
      </c>
      <c r="J69" s="125" t="s">
        <v>489</v>
      </c>
      <c r="K69" s="124"/>
      <c r="L69" s="126">
        <v>43634000</v>
      </c>
      <c r="O69" s="278" t="s">
        <v>28</v>
      </c>
      <c r="P69" s="279"/>
      <c r="Q69" s="280">
        <f>T72</f>
        <v>35979</v>
      </c>
      <c r="S69" s="124"/>
      <c r="T69" s="124"/>
      <c r="W69" s="278" t="s">
        <v>468</v>
      </c>
      <c r="X69" s="279"/>
      <c r="Y69" s="280">
        <f>Z96</f>
        <v>10763.366046511628</v>
      </c>
      <c r="AA69" s="85"/>
      <c r="AB69" s="85"/>
      <c r="AC69" s="278" t="s">
        <v>28</v>
      </c>
      <c r="AD69" s="279"/>
      <c r="AE69" s="280">
        <f>AO77</f>
        <v>11820.77205882353</v>
      </c>
      <c r="AF69" s="813"/>
      <c r="AG69" s="280">
        <v>1194.4461645581948</v>
      </c>
      <c r="AH69" s="280">
        <v>4865.2986600045424</v>
      </c>
      <c r="AI69" s="280">
        <v>19333.303916665849</v>
      </c>
      <c r="AJ69" s="813"/>
      <c r="AK69" s="400">
        <f>AO78</f>
        <v>965.91323973580268</v>
      </c>
      <c r="AM69" s="125" t="s">
        <v>490</v>
      </c>
      <c r="AN69" s="238"/>
      <c r="AO69" s="126">
        <f>32895000-922000</f>
        <v>31973000</v>
      </c>
      <c r="AT69" s="214"/>
      <c r="AU69" s="214"/>
      <c r="AV69" s="214"/>
      <c r="AW69" s="214"/>
    </row>
    <row r="70" spans="1:49" ht="15.75">
      <c r="J70" s="125" t="s">
        <v>491</v>
      </c>
      <c r="K70" s="236"/>
      <c r="L70" s="126">
        <f>L69-T70-W94-W97-Z94</f>
        <v>41955013.680000007</v>
      </c>
      <c r="S70" s="125" t="s">
        <v>492</v>
      </c>
      <c r="T70" s="132">
        <v>1224880.8</v>
      </c>
      <c r="W70" s="278" t="s">
        <v>471</v>
      </c>
      <c r="X70" s="279"/>
      <c r="Y70" s="280">
        <f>W99</f>
        <v>12147.314285714287</v>
      </c>
      <c r="AA70" s="85"/>
      <c r="AB70" s="85"/>
      <c r="AM70" s="125"/>
      <c r="AN70" s="238"/>
      <c r="AO70" s="126"/>
      <c r="AT70" s="290">
        <v>2019</v>
      </c>
      <c r="AU70" s="813"/>
      <c r="AV70" s="813"/>
      <c r="AW70" s="813"/>
    </row>
    <row r="71" spans="1:49" ht="16.5" thickBot="1">
      <c r="A71" s="282">
        <v>2022</v>
      </c>
      <c r="B71" s="282"/>
      <c r="C71" s="282"/>
      <c r="D71" s="282"/>
      <c r="E71" s="282"/>
      <c r="F71" s="282"/>
      <c r="G71" s="282"/>
      <c r="H71" s="282"/>
      <c r="J71" s="125" t="s">
        <v>493</v>
      </c>
      <c r="K71" s="238"/>
      <c r="L71" s="126">
        <v>3480</v>
      </c>
      <c r="O71" s="282">
        <v>2022</v>
      </c>
      <c r="P71" s="282"/>
      <c r="Q71" s="282"/>
      <c r="S71" s="125" t="s">
        <v>494</v>
      </c>
      <c r="T71" s="132">
        <v>25.5</v>
      </c>
      <c r="W71" s="282">
        <v>2022</v>
      </c>
      <c r="X71" s="282"/>
      <c r="Y71" s="282"/>
      <c r="AC71" s="290">
        <v>2022</v>
      </c>
      <c r="AD71" s="813"/>
      <c r="AE71" s="813"/>
      <c r="AF71" s="813"/>
      <c r="AG71" s="813"/>
      <c r="AH71" s="813"/>
      <c r="AI71" s="813"/>
      <c r="AJ71" s="813"/>
      <c r="AK71" s="813"/>
      <c r="AM71" s="125"/>
      <c r="AN71" s="238"/>
      <c r="AO71" s="132"/>
      <c r="AT71" s="178" t="str">
        <f>A20</f>
        <v>Indexförändring 2018</v>
      </c>
      <c r="AU71" s="178">
        <f>B20</f>
        <v>0.98545935228023795</v>
      </c>
      <c r="AV71" s="214"/>
      <c r="AW71" s="214"/>
    </row>
    <row r="72" spans="1:49" ht="17.25" thickTop="1" thickBot="1">
      <c r="A72" s="349" t="s">
        <v>474</v>
      </c>
      <c r="B72" s="402">
        <f>(G72/E72)</f>
        <v>1.0205680705190989</v>
      </c>
      <c r="C72" s="139"/>
      <c r="D72" s="263" t="s">
        <v>463</v>
      </c>
      <c r="E72" s="348">
        <v>102.1</v>
      </c>
      <c r="F72" s="263" t="s">
        <v>475</v>
      </c>
      <c r="G72" s="404">
        <v>104.2</v>
      </c>
      <c r="H72" s="437"/>
      <c r="I72" s="488"/>
      <c r="J72" s="125" t="s">
        <v>495</v>
      </c>
      <c r="K72" s="238"/>
      <c r="L72" s="132">
        <f>ROUND((L70)/L71,0)</f>
        <v>12056</v>
      </c>
      <c r="O72" s="178" t="str">
        <f>A72</f>
        <v>Indexförändring 2021</v>
      </c>
      <c r="P72" s="403">
        <f>B72</f>
        <v>1.0205680705190989</v>
      </c>
      <c r="Q72" s="139"/>
      <c r="S72" s="125" t="s">
        <v>496</v>
      </c>
      <c r="T72" s="132">
        <f>ROUND((T70/T71)-L72,0)</f>
        <v>35979</v>
      </c>
      <c r="W72" s="278" t="s">
        <v>465</v>
      </c>
      <c r="X72" s="279"/>
      <c r="Y72" s="280">
        <f>Y68*V74</f>
        <v>10507.625974534769</v>
      </c>
      <c r="AA72" s="85"/>
      <c r="AB72" s="85"/>
      <c r="AC72" s="178" t="s">
        <v>455</v>
      </c>
      <c r="AD72" s="403">
        <f>B72</f>
        <v>1.0205680705190989</v>
      </c>
      <c r="AE72" s="229"/>
      <c r="AF72" s="813"/>
      <c r="AG72" s="229"/>
      <c r="AH72" s="229"/>
      <c r="AI72" s="229"/>
      <c r="AJ72" s="813"/>
      <c r="AK72" s="229"/>
      <c r="AM72" s="125" t="s">
        <v>497</v>
      </c>
      <c r="AN72" s="238"/>
      <c r="AO72" s="126">
        <v>2176</v>
      </c>
      <c r="AT72" s="278" t="s">
        <v>28</v>
      </c>
      <c r="AU72" s="279"/>
      <c r="AV72" s="280">
        <f>ROUND(AV68*AU71,2)</f>
        <v>150.78</v>
      </c>
      <c r="AW72" s="280">
        <f>ROUND(AW68*AU71,2)</f>
        <v>34.200000000000003</v>
      </c>
    </row>
    <row r="73" spans="1:49" ht="17.25" thickTop="1" thickBot="1">
      <c r="A73" s="278" t="s">
        <v>28</v>
      </c>
      <c r="B73" s="284"/>
      <c r="C73" s="284">
        <f t="shared" ref="C73:H73" si="8">C68*$B$72</f>
        <v>27683.929480901079</v>
      </c>
      <c r="D73" s="284">
        <f t="shared" si="8"/>
        <v>17225.556121449561</v>
      </c>
      <c r="E73" s="284">
        <f t="shared" si="8"/>
        <v>12303.968658178257</v>
      </c>
      <c r="F73" s="284">
        <f t="shared" si="8"/>
        <v>4921.5874632713012</v>
      </c>
      <c r="G73" s="284">
        <f t="shared" si="8"/>
        <v>2460.7937316356506</v>
      </c>
      <c r="H73" s="284">
        <f t="shared" si="8"/>
        <v>1537.9960822722821</v>
      </c>
      <c r="O73" s="278" t="s">
        <v>28</v>
      </c>
      <c r="P73" s="279"/>
      <c r="Q73" s="280">
        <f>P72*Q69</f>
        <v>36719.018609206658</v>
      </c>
      <c r="V73" s="178" t="s">
        <v>453</v>
      </c>
      <c r="W73" s="278" t="s">
        <v>468</v>
      </c>
      <c r="X73" s="279"/>
      <c r="Y73" s="280">
        <f>Y69*V74</f>
        <v>10984.747718379154</v>
      </c>
      <c r="AA73" s="85"/>
      <c r="AB73" s="85"/>
      <c r="AC73" s="278" t="s">
        <v>28</v>
      </c>
      <c r="AD73" s="279"/>
      <c r="AE73" s="280">
        <f>AE69*$AD$72</f>
        <v>12063.902532119606</v>
      </c>
      <c r="AF73" s="813"/>
      <c r="AG73" s="280">
        <f>AG69*$AD$72</f>
        <v>1219.013617502095</v>
      </c>
      <c r="AH73" s="280">
        <f>AH69*$AD$72</f>
        <v>4965.3684659399933</v>
      </c>
      <c r="AI73" s="280">
        <f>AI69*$AD$72</f>
        <v>19730.952674991004</v>
      </c>
      <c r="AJ73" s="813"/>
      <c r="AK73" s="280">
        <f>AK69*$AD$72</f>
        <v>985.78021136602001</v>
      </c>
      <c r="AM73" s="125" t="s">
        <v>498</v>
      </c>
      <c r="AN73" s="238"/>
      <c r="AO73" s="126">
        <v>30129</v>
      </c>
    </row>
    <row r="74" spans="1:49" ht="17.25" thickTop="1" thickBot="1">
      <c r="A74" s="139"/>
      <c r="B74" s="139"/>
      <c r="C74" s="139"/>
      <c r="D74" s="139"/>
      <c r="E74" s="139"/>
      <c r="F74" s="139"/>
      <c r="G74" s="139"/>
      <c r="H74" s="139"/>
      <c r="O74" s="104"/>
      <c r="P74" s="104"/>
      <c r="Q74" s="104"/>
      <c r="S74" s="479"/>
      <c r="V74" s="402">
        <f>B72</f>
        <v>1.0205680705190989</v>
      </c>
      <c r="W74" s="278" t="s">
        <v>471</v>
      </c>
      <c r="X74" s="279"/>
      <c r="Y74" s="280">
        <f>Y70*V74</f>
        <v>12397.161102560516</v>
      </c>
      <c r="AA74" s="93"/>
      <c r="AB74" s="93"/>
      <c r="AM74" s="125" t="s">
        <v>499</v>
      </c>
      <c r="AN74" s="238"/>
      <c r="AO74" s="126"/>
      <c r="AT74" s="290">
        <v>2020</v>
      </c>
      <c r="AU74" s="813"/>
      <c r="AV74" s="813"/>
      <c r="AW74" s="813"/>
    </row>
    <row r="75" spans="1:49" ht="17.25" thickTop="1" thickBot="1">
      <c r="A75" s="282">
        <v>2023</v>
      </c>
      <c r="B75" s="282"/>
      <c r="C75" s="282" t="s">
        <v>392</v>
      </c>
      <c r="D75" s="282" t="s">
        <v>393</v>
      </c>
      <c r="E75" s="282" t="s">
        <v>394</v>
      </c>
      <c r="F75" s="282" t="s">
        <v>395</v>
      </c>
      <c r="G75" s="282" t="s">
        <v>396</v>
      </c>
      <c r="H75" s="282" t="s">
        <v>397</v>
      </c>
      <c r="O75" s="282">
        <v>2023</v>
      </c>
      <c r="P75" s="282"/>
      <c r="Q75" s="282"/>
      <c r="W75" s="282">
        <v>2023</v>
      </c>
      <c r="X75" s="282"/>
      <c r="Y75" s="282"/>
      <c r="AC75" s="290">
        <v>2023</v>
      </c>
      <c r="AD75" s="813"/>
      <c r="AE75" s="813"/>
      <c r="AF75" s="813"/>
      <c r="AG75" s="813"/>
      <c r="AH75" s="813"/>
      <c r="AI75" s="813"/>
      <c r="AJ75" s="813"/>
      <c r="AK75" s="813"/>
      <c r="AM75" s="125"/>
      <c r="AN75" s="238"/>
      <c r="AO75" s="132"/>
      <c r="AT75" s="178" t="str">
        <f>A24</f>
        <v>Indexförändring 2019</v>
      </c>
      <c r="AU75" s="178">
        <f>B24</f>
        <v>1.0090543259557343</v>
      </c>
      <c r="AV75" s="214"/>
      <c r="AW75" s="214"/>
    </row>
    <row r="76" spans="1:49" ht="17.25" thickTop="1" thickBot="1">
      <c r="A76" s="349" t="s">
        <v>500</v>
      </c>
      <c r="B76" s="487">
        <f>(G76/E76)</f>
        <v>1.0364683301343569</v>
      </c>
      <c r="C76" s="139"/>
      <c r="D76" s="263" t="s">
        <v>475</v>
      </c>
      <c r="E76" s="348">
        <v>104.2</v>
      </c>
      <c r="F76" s="263" t="s">
        <v>501</v>
      </c>
      <c r="G76" s="404">
        <v>108</v>
      </c>
      <c r="H76" s="437"/>
      <c r="J76" s="426">
        <f>G76/E76</f>
        <v>1.0364683301343569</v>
      </c>
      <c r="O76" s="178" t="str">
        <f>A76</f>
        <v>Indexförändring 2022</v>
      </c>
      <c r="P76" s="403">
        <f>B76</f>
        <v>1.0364683301343569</v>
      </c>
      <c r="Q76" s="139"/>
      <c r="T76" s="356"/>
      <c r="W76" s="278" t="s">
        <v>465</v>
      </c>
      <c r="X76" s="279"/>
      <c r="Y76" s="280">
        <f>ROUND(Y72*V78,2)</f>
        <v>10890.82</v>
      </c>
      <c r="AC76" s="178" t="s">
        <v>455</v>
      </c>
      <c r="AD76" s="403">
        <f>B76</f>
        <v>1.0364683301343569</v>
      </c>
      <c r="AE76" s="229"/>
      <c r="AF76" s="813"/>
      <c r="AG76" s="229"/>
      <c r="AH76" s="229"/>
      <c r="AI76" s="229"/>
      <c r="AJ76" s="813"/>
      <c r="AK76" s="229"/>
      <c r="AM76" s="125"/>
      <c r="AN76" s="238"/>
      <c r="AO76" s="132"/>
      <c r="AT76" s="278" t="s">
        <v>28</v>
      </c>
      <c r="AU76" s="279"/>
      <c r="AV76" s="280">
        <f>ROUND(AV72*AU75,2)</f>
        <v>152.15</v>
      </c>
      <c r="AW76" s="280">
        <f>ROUND(AW72*AU75,2)</f>
        <v>34.51</v>
      </c>
    </row>
    <row r="77" spans="1:49" ht="17.25" thickTop="1" thickBot="1">
      <c r="A77" s="278" t="s">
        <v>28</v>
      </c>
      <c r="B77" s="284"/>
      <c r="C77" s="284">
        <f t="shared" ref="C77:H77" si="9">ROUND(C73*$B$76,2)</f>
        <v>28693.52</v>
      </c>
      <c r="D77" s="284">
        <f t="shared" si="9"/>
        <v>17853.740000000002</v>
      </c>
      <c r="E77" s="284">
        <f t="shared" si="9"/>
        <v>12752.67</v>
      </c>
      <c r="F77" s="284">
        <f t="shared" si="9"/>
        <v>5101.07</v>
      </c>
      <c r="G77" s="284">
        <f t="shared" si="9"/>
        <v>2550.5300000000002</v>
      </c>
      <c r="H77" s="284">
        <f t="shared" si="9"/>
        <v>1594.08</v>
      </c>
      <c r="O77" s="278" t="s">
        <v>28</v>
      </c>
      <c r="P77" s="279"/>
      <c r="Q77" s="280">
        <f>ROUND(P76*Q73,2)</f>
        <v>38058.1</v>
      </c>
      <c r="T77" s="356">
        <f>T70/T71</f>
        <v>48034.541176470593</v>
      </c>
      <c r="V77" s="178" t="s">
        <v>453</v>
      </c>
      <c r="W77" s="278" t="s">
        <v>468</v>
      </c>
      <c r="X77" s="279"/>
      <c r="Y77" s="280">
        <f>ROUND(Y73*V78,2)</f>
        <v>11385.34</v>
      </c>
      <c r="AC77" s="278" t="s">
        <v>28</v>
      </c>
      <c r="AD77" s="279"/>
      <c r="AE77" s="280">
        <f>ROUND(AE73*$AD$76,2)</f>
        <v>12503.85</v>
      </c>
      <c r="AF77" s="813"/>
      <c r="AG77" s="280">
        <f>ROUND(AG73*$AD$76,2)</f>
        <v>1263.47</v>
      </c>
      <c r="AH77" s="280">
        <f>ROUND(AH73*$AD$76,2)</f>
        <v>5146.45</v>
      </c>
      <c r="AI77" s="280">
        <f>ROUND(AI73*$AD$76,2)</f>
        <v>20450.509999999998</v>
      </c>
      <c r="AJ77" s="813"/>
      <c r="AK77" s="280">
        <f>ROUND(AK73*$AD$76,2)</f>
        <v>1021.73</v>
      </c>
      <c r="AM77" s="355" t="s">
        <v>502</v>
      </c>
      <c r="AN77" s="238"/>
      <c r="AO77" s="132">
        <f>AO67/AO72</f>
        <v>11820.77205882353</v>
      </c>
    </row>
    <row r="78" spans="1:49" ht="17.25" thickTop="1" thickBot="1">
      <c r="T78" s="356">
        <f>T77-L72</f>
        <v>35978.541176470593</v>
      </c>
      <c r="V78" s="402">
        <f>B76</f>
        <v>1.0364683301343569</v>
      </c>
      <c r="W78" s="278" t="s">
        <v>471</v>
      </c>
      <c r="X78" s="279"/>
      <c r="Y78" s="280">
        <f>ROUND(Y74*V78,2)</f>
        <v>12849.26</v>
      </c>
      <c r="AM78" s="355" t="s">
        <v>503</v>
      </c>
      <c r="AN78" s="238"/>
      <c r="AO78" s="132">
        <f>AO68/AO73</f>
        <v>965.91323973580268</v>
      </c>
      <c r="AT78" s="290">
        <v>2021</v>
      </c>
      <c r="AU78" s="813"/>
      <c r="AV78" s="813"/>
      <c r="AW78" s="813"/>
    </row>
    <row r="79" spans="1:49" ht="26.25" customHeight="1" thickTop="1" thickBot="1">
      <c r="A79" s="282">
        <v>2024</v>
      </c>
      <c r="B79" s="282"/>
      <c r="C79" s="282" t="s">
        <v>392</v>
      </c>
      <c r="D79" s="282" t="s">
        <v>393</v>
      </c>
      <c r="E79" s="282" t="s">
        <v>394</v>
      </c>
      <c r="F79" s="282" t="s">
        <v>395</v>
      </c>
      <c r="G79" s="282" t="s">
        <v>396</v>
      </c>
      <c r="H79" s="282" t="s">
        <v>397</v>
      </c>
      <c r="J79" s="853" t="s">
        <v>504</v>
      </c>
      <c r="K79" s="853"/>
      <c r="O79" s="282">
        <v>2024</v>
      </c>
      <c r="P79" s="282"/>
      <c r="Q79" s="282"/>
      <c r="W79" s="282">
        <v>2024</v>
      </c>
      <c r="X79" s="282"/>
      <c r="Y79" s="282"/>
      <c r="AC79" s="290">
        <v>2024</v>
      </c>
      <c r="AD79" s="813"/>
      <c r="AE79" s="813"/>
      <c r="AF79" s="813"/>
      <c r="AG79" s="813"/>
      <c r="AH79" s="813"/>
      <c r="AI79" s="813"/>
      <c r="AJ79" s="813"/>
      <c r="AK79" s="813"/>
      <c r="AM79" s="355" t="s">
        <v>505</v>
      </c>
      <c r="AN79" s="238"/>
      <c r="AO79" s="132"/>
      <c r="AT79" s="178"/>
      <c r="AU79" s="178">
        <f>B48</f>
        <v>1.0179461615154537</v>
      </c>
      <c r="AV79" s="214"/>
      <c r="AW79" s="214"/>
    </row>
    <row r="80" spans="1:49" ht="17.25" thickTop="1" thickBot="1">
      <c r="A80" s="349" t="s">
        <v>506</v>
      </c>
      <c r="B80" s="465">
        <f>(G80/E80)</f>
        <v>1.0453703703703705</v>
      </c>
      <c r="C80" s="139"/>
      <c r="D80" s="263" t="s">
        <v>501</v>
      </c>
      <c r="E80" s="348">
        <v>108</v>
      </c>
      <c r="F80" s="263" t="s">
        <v>507</v>
      </c>
      <c r="G80" s="469">
        <v>112.9</v>
      </c>
      <c r="H80" s="437"/>
      <c r="J80" s="853"/>
      <c r="K80" s="853"/>
      <c r="O80" s="178" t="str">
        <f>A80</f>
        <v>Indexförändring 2023</v>
      </c>
      <c r="P80" s="403">
        <f>B80</f>
        <v>1.0453703703703705</v>
      </c>
      <c r="Q80" s="139"/>
      <c r="W80" s="278" t="s">
        <v>465</v>
      </c>
      <c r="X80" s="279"/>
      <c r="Y80" s="280">
        <f>ROUND(Y76*V82,2)</f>
        <v>11384.94</v>
      </c>
      <c r="AC80" s="178" t="s">
        <v>455</v>
      </c>
      <c r="AD80" s="403">
        <f>B80</f>
        <v>1.0453703703703705</v>
      </c>
      <c r="AE80" s="229"/>
      <c r="AF80" s="813"/>
      <c r="AG80" s="229"/>
      <c r="AH80" s="229"/>
      <c r="AI80" s="229"/>
      <c r="AJ80" s="813"/>
      <c r="AK80" s="229"/>
      <c r="AM80" s="125" t="s">
        <v>508</v>
      </c>
      <c r="AN80" s="238"/>
      <c r="AO80" s="132"/>
      <c r="AP80" t="s">
        <v>509</v>
      </c>
      <c r="AT80" s="278" t="s">
        <v>28</v>
      </c>
      <c r="AU80" s="279"/>
      <c r="AV80" s="280">
        <f>ROUND(AV76*$AU$79,2)</f>
        <v>154.88</v>
      </c>
      <c r="AW80" s="280">
        <f>ROUND(AW76*$AU$79,2)</f>
        <v>35.130000000000003</v>
      </c>
    </row>
    <row r="81" spans="1:51" ht="17.25" thickTop="1" thickBot="1">
      <c r="A81" s="278" t="s">
        <v>28</v>
      </c>
      <c r="B81" s="284"/>
      <c r="C81" s="284">
        <f t="shared" ref="C81:H81" si="10">ROUND(C77*$B$80,2)</f>
        <v>29995.360000000001</v>
      </c>
      <c r="D81" s="284">
        <f t="shared" si="10"/>
        <v>18663.77</v>
      </c>
      <c r="E81" s="284">
        <f t="shared" si="10"/>
        <v>13331.26</v>
      </c>
      <c r="F81" s="284">
        <f t="shared" si="10"/>
        <v>5332.51</v>
      </c>
      <c r="G81" s="284">
        <f t="shared" si="10"/>
        <v>2666.25</v>
      </c>
      <c r="H81" s="284">
        <f t="shared" si="10"/>
        <v>1666.4</v>
      </c>
      <c r="J81" s="853"/>
      <c r="K81" s="853"/>
      <c r="O81" s="278" t="s">
        <v>28</v>
      </c>
      <c r="P81" s="279"/>
      <c r="Q81" s="280">
        <f>ROUND(P80*Q77,2)</f>
        <v>39784.81</v>
      </c>
      <c r="V81" s="178" t="s">
        <v>453</v>
      </c>
      <c r="W81" s="278" t="s">
        <v>468</v>
      </c>
      <c r="X81" s="279"/>
      <c r="Y81" s="280">
        <f>ROUND(Y77*V82,2)</f>
        <v>11901.9</v>
      </c>
      <c r="AC81" s="278" t="s">
        <v>28</v>
      </c>
      <c r="AD81" s="279"/>
      <c r="AE81" s="280">
        <f>ROUND(AE77*$AD$80,2)</f>
        <v>13071.15</v>
      </c>
      <c r="AF81" s="813"/>
      <c r="AG81" s="280">
        <f>ROUND(AG77*$AD$80,2)</f>
        <v>1320.79</v>
      </c>
      <c r="AH81" s="280">
        <f>ROUND(AH77*$AD$80,2)</f>
        <v>5379.95</v>
      </c>
      <c r="AI81" s="280">
        <f>ROUND(AI77*$AD$80,2)</f>
        <v>21378.36</v>
      </c>
      <c r="AJ81" s="813"/>
      <c r="AK81" s="280">
        <f>ROUND(AK77*$AD$80,2)</f>
        <v>1068.0899999999999</v>
      </c>
      <c r="AM81" s="125" t="s">
        <v>510</v>
      </c>
      <c r="AN81" s="238"/>
      <c r="AO81" s="132"/>
      <c r="AP81" t="s">
        <v>509</v>
      </c>
    </row>
    <row r="82" spans="1:51" ht="15.75" customHeight="1" thickTop="1" thickBot="1">
      <c r="J82" s="853"/>
      <c r="K82" s="853"/>
      <c r="P82" s="472" t="s">
        <v>511</v>
      </c>
      <c r="V82" s="402">
        <f>B80</f>
        <v>1.0453703703703705</v>
      </c>
      <c r="W82" s="278" t="s">
        <v>471</v>
      </c>
      <c r="X82" s="279"/>
      <c r="Y82" s="280">
        <f>ROUND(Y78*V82,2)</f>
        <v>13432.24</v>
      </c>
      <c r="AC82" s="472" t="s">
        <v>511</v>
      </c>
      <c r="AM82" s="125" t="s">
        <v>512</v>
      </c>
      <c r="AN82" s="238"/>
      <c r="AO82" s="132"/>
      <c r="AP82" t="s">
        <v>509</v>
      </c>
      <c r="AT82" s="290">
        <v>2022</v>
      </c>
      <c r="AU82" s="813"/>
      <c r="AV82" s="813" t="s">
        <v>62</v>
      </c>
      <c r="AW82" s="813" t="s">
        <v>131</v>
      </c>
    </row>
    <row r="83" spans="1:51" ht="21" customHeight="1" thickTop="1">
      <c r="P83" s="472"/>
      <c r="V83" s="472" t="s">
        <v>511</v>
      </c>
      <c r="AC83" s="472"/>
      <c r="AM83" s="125"/>
      <c r="AN83" s="238"/>
      <c r="AO83" s="132"/>
      <c r="AT83" s="178"/>
      <c r="AU83" s="178">
        <f>B72</f>
        <v>1.0205680705190989</v>
      </c>
      <c r="AV83" s="214"/>
      <c r="AW83" s="214"/>
    </row>
    <row r="84" spans="1:51">
      <c r="P84" s="472"/>
      <c r="V84" s="472"/>
      <c r="AC84" s="472"/>
      <c r="AT84" s="278" t="s">
        <v>28</v>
      </c>
      <c r="AU84" s="279"/>
      <c r="AV84" s="443">
        <f>ROUND(AV80*$AU$83,2)</f>
        <v>158.07</v>
      </c>
      <c r="AW84" s="443">
        <f>ROUND(AW80*$AU$83,2)</f>
        <v>35.85</v>
      </c>
    </row>
    <row r="85" spans="1:51">
      <c r="V85" s="472"/>
    </row>
    <row r="86" spans="1:51" ht="26.25" customHeight="1">
      <c r="F86" s="390"/>
      <c r="AT86" s="290">
        <v>2023</v>
      </c>
      <c r="AU86" s="813"/>
      <c r="AV86" s="813" t="s">
        <v>62</v>
      </c>
      <c r="AW86" s="814" t="s">
        <v>131</v>
      </c>
      <c r="AX86" s="851" t="s">
        <v>513</v>
      </c>
      <c r="AY86" s="851"/>
    </row>
    <row r="87" spans="1:51">
      <c r="AT87" s="178"/>
      <c r="AU87" s="178">
        <f>B76</f>
        <v>1.0364683301343569</v>
      </c>
      <c r="AV87" s="214"/>
      <c r="AW87" s="563"/>
      <c r="AX87" s="851"/>
      <c r="AY87" s="851"/>
    </row>
    <row r="88" spans="1:51">
      <c r="AT88" s="278" t="s">
        <v>28</v>
      </c>
      <c r="AU88" s="279"/>
      <c r="AV88" s="280">
        <f>ROUND(AV84*$AU$87,2)</f>
        <v>163.83000000000001</v>
      </c>
      <c r="AW88" s="476">
        <f>ROUND(AW84*AU87,2)</f>
        <v>37.159999999999997</v>
      </c>
      <c r="AX88" s="851"/>
      <c r="AY88" s="851"/>
    </row>
    <row r="89" spans="1:51">
      <c r="AT89" s="55"/>
      <c r="AU89" s="55"/>
      <c r="AV89" s="55"/>
      <c r="AW89" s="564"/>
      <c r="AX89" s="851"/>
      <c r="AY89" s="851"/>
    </row>
    <row r="90" spans="1:51" ht="15.75">
      <c r="G90" s="436"/>
      <c r="AT90" s="290">
        <v>2024</v>
      </c>
      <c r="AU90" s="813"/>
      <c r="AV90" s="813" t="s">
        <v>62</v>
      </c>
      <c r="AW90" s="814" t="s">
        <v>131</v>
      </c>
    </row>
    <row r="91" spans="1:51">
      <c r="V91" s="104"/>
      <c r="AT91" s="178"/>
      <c r="AU91" s="178">
        <f>B80</f>
        <v>1.0453703703703705</v>
      </c>
      <c r="AV91" s="214"/>
      <c r="AW91" s="563"/>
    </row>
    <row r="92" spans="1:51" ht="15.75">
      <c r="V92" s="355" t="s">
        <v>514</v>
      </c>
      <c r="W92" s="489"/>
      <c r="X92" s="125"/>
      <c r="Y92" s="124"/>
      <c r="Z92" s="125"/>
      <c r="AG92" s="350" t="s">
        <v>435</v>
      </c>
      <c r="AH92" s="350"/>
      <c r="AI92" s="350"/>
      <c r="AJ92" s="353"/>
      <c r="AK92" s="351" t="s">
        <v>436</v>
      </c>
      <c r="AT92" s="278" t="s">
        <v>28</v>
      </c>
      <c r="AU92" s="279"/>
      <c r="AV92" s="280">
        <f>ROUND(AV88*$AU$91,2)</f>
        <v>171.26</v>
      </c>
      <c r="AW92" s="476">
        <f>ROUND(AW88*AU91,2)</f>
        <v>38.85</v>
      </c>
    </row>
    <row r="93" spans="1:51" ht="15.75">
      <c r="V93" s="124"/>
      <c r="W93" s="124"/>
      <c r="X93" s="124"/>
      <c r="Y93" s="124"/>
      <c r="Z93" s="124"/>
      <c r="AG93" s="139" t="s">
        <v>401</v>
      </c>
      <c r="AH93" s="139" t="s">
        <v>402</v>
      </c>
      <c r="AI93" s="139" t="s">
        <v>403</v>
      </c>
      <c r="AJ93" s="813"/>
      <c r="AK93" s="228" t="s">
        <v>440</v>
      </c>
      <c r="AW93" s="472"/>
    </row>
    <row r="94" spans="1:51" ht="15.75">
      <c r="V94" s="125" t="s">
        <v>515</v>
      </c>
      <c r="W94" s="126">
        <v>180177.55</v>
      </c>
      <c r="X94" s="125" t="s">
        <v>516</v>
      </c>
      <c r="Y94" s="490"/>
      <c r="Z94" s="361">
        <v>231412.37</v>
      </c>
      <c r="AC94" s="290">
        <v>2023</v>
      </c>
      <c r="AD94" s="813"/>
      <c r="AE94" s="813"/>
      <c r="AF94" s="813"/>
      <c r="AG94" s="813"/>
      <c r="AH94" s="813"/>
      <c r="AI94" s="813"/>
      <c r="AJ94" s="813"/>
      <c r="AK94" s="813"/>
      <c r="AW94" s="472"/>
    </row>
    <row r="95" spans="1:51" ht="15.75">
      <c r="V95" s="125" t="s">
        <v>448</v>
      </c>
      <c r="W95" s="361">
        <v>17.5</v>
      </c>
      <c r="X95" s="125" t="s">
        <v>454</v>
      </c>
      <c r="Y95" s="490"/>
      <c r="Z95" s="126">
        <v>43</v>
      </c>
      <c r="AC95" s="178" t="s">
        <v>455</v>
      </c>
      <c r="AD95" s="403">
        <v>1.0364683301343569</v>
      </c>
      <c r="AE95" s="229"/>
      <c r="AF95" s="813"/>
      <c r="AG95" s="229"/>
      <c r="AH95" s="229"/>
      <c r="AI95" s="229"/>
      <c r="AJ95" s="813"/>
      <c r="AK95" s="229"/>
    </row>
    <row r="96" spans="1:51" ht="15.75">
      <c r="V96" s="125" t="s">
        <v>451</v>
      </c>
      <c r="W96" s="126">
        <f>W94/W95</f>
        <v>10295.859999999999</v>
      </c>
      <c r="X96" s="125" t="s">
        <v>451</v>
      </c>
      <c r="Y96" s="490"/>
      <c r="Z96" s="126">
        <f>2*Z94/Z95</f>
        <v>10763.366046511628</v>
      </c>
      <c r="AC96" s="278" t="s">
        <v>28</v>
      </c>
      <c r="AD96" s="279"/>
      <c r="AE96" s="280"/>
      <c r="AF96" s="813"/>
      <c r="AG96" s="280">
        <v>1263.47</v>
      </c>
      <c r="AH96" s="280">
        <v>5146.45</v>
      </c>
      <c r="AI96" s="280">
        <v>20450.509999999998</v>
      </c>
      <c r="AJ96" s="813"/>
      <c r="AK96" s="280">
        <v>1021.73</v>
      </c>
    </row>
    <row r="97" spans="22:31">
      <c r="V97" s="125" t="s">
        <v>517</v>
      </c>
      <c r="W97" s="126">
        <v>42515.600000000006</v>
      </c>
      <c r="X97" s="490"/>
      <c r="Y97" s="490"/>
      <c r="Z97" s="126"/>
    </row>
    <row r="98" spans="22:31">
      <c r="V98" s="125" t="s">
        <v>454</v>
      </c>
      <c r="W98" s="126">
        <v>7</v>
      </c>
      <c r="X98" s="490"/>
      <c r="Y98" s="490"/>
      <c r="Z98" s="126"/>
    </row>
    <row r="99" spans="22:31">
      <c r="V99" s="125" t="s">
        <v>451</v>
      </c>
      <c r="W99" s="126">
        <f>2*W97/W98</f>
        <v>12147.314285714287</v>
      </c>
      <c r="X99" s="490"/>
      <c r="Y99" s="490"/>
      <c r="Z99" s="490"/>
    </row>
    <row r="102" spans="22:31">
      <c r="AE102">
        <f>19603+927+4649</f>
        <v>25179</v>
      </c>
    </row>
    <row r="211" spans="2:2">
      <c r="B211" s="390" t="s">
        <v>518</v>
      </c>
    </row>
    <row r="213" spans="2:2">
      <c r="B213" s="390" t="s">
        <v>519</v>
      </c>
    </row>
  </sheetData>
  <mergeCells count="10">
    <mergeCell ref="AN26:AR26"/>
    <mergeCell ref="AN27:AR27"/>
    <mergeCell ref="V63:Z64"/>
    <mergeCell ref="AX86:AY89"/>
    <mergeCell ref="J38:K38"/>
    <mergeCell ref="J54:K55"/>
    <mergeCell ref="AN62:AR62"/>
    <mergeCell ref="AN63:AR63"/>
    <mergeCell ref="J79:K82"/>
    <mergeCell ref="AN64:AR64"/>
  </mergeCells>
  <hyperlinks>
    <hyperlink ref="A29" r:id="rId1" xr:uid="{00000000-0004-0000-0A00-000000000000}"/>
    <hyperlink ref="I52" r:id="rId2" display="https://www.asub.ax/sites/www.asub.ax/files/statistics/prisindex_for_den_kommunala_basservicen_2021.pdf" xr:uid="{00000000-0004-0000-0A00-000001000000}"/>
    <hyperlink ref="J76" r:id="rId3" display="https://www.asub.ax/sv/statistik/prisindex-kommunala-basservicen-pa-aland-2022" xr:uid="{00000000-0004-0000-0A00-000002000000}"/>
    <hyperlink ref="J79:K82" r:id="rId4" display="Använder prel-indexsiffror ty försenat från uppgiftslämnare. Se mail från åsub. /RLÖ 18092023" xr:uid="{3F7E1029-57CC-4B1E-A7FC-ABAF2C424878}"/>
  </hyperlinks>
  <pageMargins left="0.7" right="0.7" top="0.75" bottom="0.75" header="0.3" footer="0.3"/>
  <pageSetup paperSize="9" scale="99" orientation="landscape" r:id="rId5"/>
  <drawing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45"/>
  <sheetViews>
    <sheetView topLeftCell="A20" zoomScaleNormal="100" workbookViewId="0">
      <selection activeCell="A28" sqref="A28:XFD28"/>
    </sheetView>
  </sheetViews>
  <sheetFormatPr defaultRowHeight="15"/>
  <cols>
    <col min="1" max="1" width="11.109375" bestFit="1" customWidth="1"/>
    <col min="2" max="2" width="13.88671875" customWidth="1"/>
    <col min="3" max="3" width="9.77734375" bestFit="1" customWidth="1"/>
    <col min="4" max="4" width="13.88671875" bestFit="1" customWidth="1"/>
    <col min="5" max="5" width="17.33203125" customWidth="1"/>
    <col min="17" max="17" width="11.109375" bestFit="1" customWidth="1"/>
    <col min="18" max="19" width="10.33203125" bestFit="1" customWidth="1"/>
    <col min="20" max="20" width="15" bestFit="1" customWidth="1"/>
  </cols>
  <sheetData>
    <row r="1" spans="1:8" ht="15.75">
      <c r="A1" s="11" t="s">
        <v>520</v>
      </c>
    </row>
    <row r="2" spans="1:8" ht="18">
      <c r="A2" s="10"/>
    </row>
    <row r="3" spans="1:8">
      <c r="A3" s="246" t="s">
        <v>74</v>
      </c>
      <c r="B3" s="214"/>
      <c r="C3" s="214"/>
      <c r="D3" s="214"/>
    </row>
    <row r="4" spans="1:8">
      <c r="A4" s="214"/>
      <c r="B4" s="214"/>
      <c r="C4" s="214"/>
      <c r="D4" s="214"/>
    </row>
    <row r="5" spans="1:8">
      <c r="A5" s="214"/>
      <c r="B5" s="214"/>
      <c r="C5" s="214"/>
      <c r="D5" s="214"/>
    </row>
    <row r="6" spans="1:8">
      <c r="A6" s="215"/>
      <c r="B6" s="103" t="s">
        <v>121</v>
      </c>
      <c r="C6" s="103" t="s">
        <v>22</v>
      </c>
      <c r="D6" s="103" t="s">
        <v>124</v>
      </c>
      <c r="E6" s="103" t="s">
        <v>521</v>
      </c>
      <c r="F6" s="103" t="s">
        <v>522</v>
      </c>
      <c r="H6" s="201" t="s">
        <v>523</v>
      </c>
    </row>
    <row r="7" spans="1:8">
      <c r="A7" s="149" t="s">
        <v>92</v>
      </c>
      <c r="B7" s="93">
        <f>'Skola data'!B40</f>
        <v>399778.16</v>
      </c>
      <c r="C7" s="93">
        <f>STR!D10</f>
        <v>0</v>
      </c>
      <c r="D7" s="93">
        <f>Specialfritids!D10</f>
        <v>0</v>
      </c>
      <c r="E7" s="93">
        <f>Grvux!D10</f>
        <v>0</v>
      </c>
      <c r="F7" s="93">
        <f>Förb!D10</f>
        <v>47607.6</v>
      </c>
      <c r="H7" s="241">
        <f>B7+C7+D7+E7+F7</f>
        <v>447385.75999999995</v>
      </c>
    </row>
    <row r="8" spans="1:8">
      <c r="A8" s="149" t="s">
        <v>93</v>
      </c>
      <c r="B8" s="93">
        <f>'Skola data'!B46</f>
        <v>382394.1</v>
      </c>
      <c r="C8" s="93">
        <f>STR!D11</f>
        <v>79569.62</v>
      </c>
      <c r="D8" s="93">
        <f>Specialfritids!D11</f>
        <v>11384.94</v>
      </c>
      <c r="E8" s="93">
        <f>Grvux!D11</f>
        <v>0</v>
      </c>
      <c r="F8" s="93">
        <f>Förb!D11</f>
        <v>28762.93</v>
      </c>
      <c r="H8" s="241">
        <f t="shared" ref="H8:H23" si="0">B8+C8+D8+E8+F8</f>
        <v>502111.58999999997</v>
      </c>
    </row>
    <row r="9" spans="1:8">
      <c r="A9" s="149" t="s">
        <v>94</v>
      </c>
      <c r="B9" s="93">
        <f>'Skola data'!B52</f>
        <v>478665.52</v>
      </c>
      <c r="C9" s="93">
        <f>STR!D12</f>
        <v>33154.01</v>
      </c>
      <c r="D9" s="93">
        <f>Specialfritids!D12</f>
        <v>9487.4500000000007</v>
      </c>
      <c r="E9" s="93">
        <f>Grvux!D12</f>
        <v>19029.009999999998</v>
      </c>
      <c r="F9" s="93">
        <f>Förb!D12</f>
        <v>100174.33</v>
      </c>
      <c r="H9" s="241">
        <f t="shared" si="0"/>
        <v>640510.31999999995</v>
      </c>
    </row>
    <row r="10" spans="1:8">
      <c r="A10" s="149" t="s">
        <v>95</v>
      </c>
      <c r="B10" s="93">
        <f>'Skola data'!B58</f>
        <v>467783.61</v>
      </c>
      <c r="C10" s="93">
        <f>STR!D13</f>
        <v>39784.81</v>
      </c>
      <c r="D10" s="93">
        <f>Specialfritids!D13</f>
        <v>0</v>
      </c>
      <c r="E10" s="93">
        <f>Grvux!D13</f>
        <v>0</v>
      </c>
      <c r="F10" s="93">
        <f>Förb!D13</f>
        <v>35705.699999999997</v>
      </c>
      <c r="H10" s="241">
        <f t="shared" si="0"/>
        <v>543274.12</v>
      </c>
    </row>
    <row r="11" spans="1:8">
      <c r="A11" s="149" t="s">
        <v>96</v>
      </c>
      <c r="B11" s="93">
        <f>'Skola data'!B64</f>
        <v>298913.73</v>
      </c>
      <c r="C11" s="93">
        <f>STR!D14</f>
        <v>62992.62</v>
      </c>
      <c r="D11" s="93">
        <f>Specialfritids!D14</f>
        <v>0</v>
      </c>
      <c r="E11" s="93">
        <f>Grvux!D14</f>
        <v>0</v>
      </c>
      <c r="F11" s="93">
        <f>Förb!D14</f>
        <v>49591.25</v>
      </c>
      <c r="H11" s="241">
        <f t="shared" si="0"/>
        <v>411497.6</v>
      </c>
    </row>
    <row r="12" spans="1:8">
      <c r="A12" s="149" t="s">
        <v>97</v>
      </c>
      <c r="B12" s="93">
        <f>'Skola data'!B70</f>
        <v>434905.86</v>
      </c>
      <c r="C12" s="93">
        <f>STR!D15</f>
        <v>16577</v>
      </c>
      <c r="D12" s="93">
        <f>Specialfritids!D15</f>
        <v>0</v>
      </c>
      <c r="E12" s="93">
        <f>Grvux!D15</f>
        <v>0</v>
      </c>
      <c r="F12" s="93">
        <f>Förb!D15</f>
        <v>75378.7</v>
      </c>
      <c r="H12" s="241">
        <f t="shared" si="0"/>
        <v>526861.55999999994</v>
      </c>
    </row>
    <row r="13" spans="1:8">
      <c r="A13" s="149" t="s">
        <v>98</v>
      </c>
      <c r="B13" s="93">
        <f>'Skola data'!B76</f>
        <v>631487.73</v>
      </c>
      <c r="C13" s="93">
        <f>STR!D16</f>
        <v>391217.3</v>
      </c>
      <c r="D13" s="93">
        <f>Specialfritids!D16</f>
        <v>109105.68</v>
      </c>
      <c r="E13" s="93">
        <f>Grvux!D16</f>
        <v>0</v>
      </c>
      <c r="F13" s="93">
        <f>Förb!D16</f>
        <v>103149.8</v>
      </c>
      <c r="H13" s="241">
        <f t="shared" si="0"/>
        <v>1234960.51</v>
      </c>
    </row>
    <row r="14" spans="1:8">
      <c r="A14" s="149" t="s">
        <v>99</v>
      </c>
      <c r="B14" s="93">
        <f>'Skola data'!B82</f>
        <v>223405.44</v>
      </c>
      <c r="C14" s="93">
        <f>STR!D17</f>
        <v>0</v>
      </c>
      <c r="D14" s="93">
        <f>Specialfritids!D17</f>
        <v>0</v>
      </c>
      <c r="E14" s="93">
        <f>Grvux!D17</f>
        <v>26864.48</v>
      </c>
      <c r="F14" s="93">
        <f>Förb!D17</f>
        <v>41656.65</v>
      </c>
      <c r="H14" s="241">
        <f t="shared" si="0"/>
        <v>291926.57</v>
      </c>
    </row>
    <row r="15" spans="1:8">
      <c r="A15" s="149" t="s">
        <v>100</v>
      </c>
      <c r="B15" s="93">
        <f>'Skola data'!B88</f>
        <v>47032.72</v>
      </c>
      <c r="C15" s="93">
        <f>STR!D18</f>
        <v>0</v>
      </c>
      <c r="D15" s="93">
        <f>Specialfritids!D18</f>
        <v>0</v>
      </c>
      <c r="E15" s="93">
        <f>Grvux!D18</f>
        <v>0</v>
      </c>
      <c r="F15" s="93">
        <f>Förb!D18</f>
        <v>0</v>
      </c>
      <c r="H15" s="241">
        <f t="shared" si="0"/>
        <v>47032.72</v>
      </c>
    </row>
    <row r="16" spans="1:8">
      <c r="A16" s="149" t="s">
        <v>101</v>
      </c>
      <c r="B16" s="93">
        <f>'Skola data'!B94</f>
        <v>474962.78</v>
      </c>
      <c r="C16" s="93">
        <f>STR!D19</f>
        <v>86200.42</v>
      </c>
      <c r="D16" s="93">
        <f>Specialfritids!D19</f>
        <v>18026.16</v>
      </c>
      <c r="E16" s="93">
        <f>Grvux!D19</f>
        <v>0</v>
      </c>
      <c r="F16" s="93">
        <f>Förb!D19</f>
        <v>37689.35</v>
      </c>
      <c r="H16" s="241">
        <f t="shared" si="0"/>
        <v>616878.71000000008</v>
      </c>
    </row>
    <row r="17" spans="1:8">
      <c r="A17" s="149" t="s">
        <v>102</v>
      </c>
      <c r="B17" s="93">
        <f>'Skola data'!B100</f>
        <v>253672.75</v>
      </c>
      <c r="C17" s="93">
        <f>STR!D20</f>
        <v>39784.81</v>
      </c>
      <c r="D17" s="93">
        <f>Specialfritids!D20</f>
        <v>0</v>
      </c>
      <c r="E17" s="93">
        <f>Grvux!D20</f>
        <v>0</v>
      </c>
      <c r="F17" s="93">
        <f>Förb!D20</f>
        <v>0</v>
      </c>
      <c r="H17" s="241">
        <f t="shared" si="0"/>
        <v>293457.56</v>
      </c>
    </row>
    <row r="18" spans="1:8">
      <c r="A18" s="149" t="s">
        <v>103</v>
      </c>
      <c r="B18" s="93">
        <f>'Skola data'!B106</f>
        <v>446687.31</v>
      </c>
      <c r="C18" s="93">
        <f>STR!D21</f>
        <v>159139.24</v>
      </c>
      <c r="D18" s="93">
        <f>Specialfritids!D21</f>
        <v>34154.82</v>
      </c>
      <c r="E18" s="93">
        <f>Grvux!D21</f>
        <v>0</v>
      </c>
      <c r="F18" s="93">
        <f>Förb!D21</f>
        <v>119019</v>
      </c>
      <c r="H18" s="241">
        <f t="shared" si="0"/>
        <v>759000.37</v>
      </c>
    </row>
    <row r="19" spans="1:8">
      <c r="A19" s="149" t="s">
        <v>104</v>
      </c>
      <c r="B19" s="93">
        <f>'Skola data'!B112</f>
        <v>141098.17000000001</v>
      </c>
      <c r="C19" s="93">
        <f>STR!D22</f>
        <v>0</v>
      </c>
      <c r="D19" s="93">
        <f>Specialfritids!D22</f>
        <v>0</v>
      </c>
      <c r="E19" s="93">
        <f>Grvux!D22</f>
        <v>0</v>
      </c>
      <c r="F19" s="93">
        <f>Förb!D22</f>
        <v>0</v>
      </c>
      <c r="H19" s="241">
        <f t="shared" si="0"/>
        <v>141098.17000000001</v>
      </c>
    </row>
    <row r="20" spans="1:8">
      <c r="A20" s="149" t="s">
        <v>105</v>
      </c>
      <c r="B20" s="93">
        <f>'Skola data'!B118</f>
        <v>399628.76</v>
      </c>
      <c r="C20" s="93">
        <f>STR!D23</f>
        <v>96146.62</v>
      </c>
      <c r="D20" s="93">
        <f>Specialfritids!D23</f>
        <v>16128.67</v>
      </c>
      <c r="E20" s="93">
        <f>Grvux!D23</f>
        <v>0</v>
      </c>
      <c r="F20" s="93">
        <f>Förb!D23</f>
        <v>11901.9</v>
      </c>
      <c r="H20" s="241">
        <f t="shared" si="0"/>
        <v>523805.95</v>
      </c>
    </row>
    <row r="21" spans="1:8">
      <c r="A21" s="149" t="s">
        <v>106</v>
      </c>
      <c r="B21" s="93">
        <f>'Skola data'!B124</f>
        <v>423102.54</v>
      </c>
      <c r="C21" s="93">
        <f>STR!D24</f>
        <v>23207.81</v>
      </c>
      <c r="D21" s="93">
        <f>Specialfritids!D24</f>
        <v>6641.22</v>
      </c>
      <c r="E21" s="93">
        <f>Grvux!D24</f>
        <v>0</v>
      </c>
      <c r="F21" s="93">
        <f>Förb!D24</f>
        <v>23803.8</v>
      </c>
      <c r="H21" s="241">
        <f t="shared" si="0"/>
        <v>476755.36999999994</v>
      </c>
    </row>
    <row r="22" spans="1:8">
      <c r="A22" s="149" t="s">
        <v>107</v>
      </c>
      <c r="B22" s="94">
        <f>'Skola data'!B130</f>
        <v>783973.33</v>
      </c>
      <c r="C22" s="93">
        <f>STR!D25</f>
        <v>222131.86</v>
      </c>
      <c r="D22" s="93">
        <f>Specialfritids!D25</f>
        <v>40796.04</v>
      </c>
      <c r="E22" s="93">
        <f>Grvux!D25</f>
        <v>64922.49</v>
      </c>
      <c r="F22" s="93">
        <f>Förb!D25</f>
        <v>517732.65</v>
      </c>
      <c r="H22" s="243">
        <f t="shared" si="0"/>
        <v>1629556.37</v>
      </c>
    </row>
    <row r="23" spans="1:8">
      <c r="A23" s="208" t="s">
        <v>108</v>
      </c>
      <c r="B23" s="97">
        <f>SUM(B7:B22)</f>
        <v>6287492.5099999998</v>
      </c>
      <c r="C23" s="249">
        <f>SUM(C7:C22)</f>
        <v>1249906.1200000001</v>
      </c>
      <c r="D23" s="249">
        <f>Specialfritids!D26</f>
        <v>245724.98</v>
      </c>
      <c r="E23" s="249">
        <f>Grvux!D26</f>
        <v>110815.98</v>
      </c>
      <c r="F23" s="249">
        <f>Förb!D26</f>
        <v>1192173.6600000001</v>
      </c>
      <c r="H23" s="245">
        <f t="shared" si="0"/>
        <v>9086113.25</v>
      </c>
    </row>
    <row r="24" spans="1:8">
      <c r="A24" s="214"/>
      <c r="B24" s="214"/>
      <c r="C24" s="214"/>
      <c r="D24" s="214"/>
      <c r="E24" s="214"/>
    </row>
    <row r="26" spans="1:8" s="668" customFormat="1">
      <c r="A26" s="666">
        <v>2023</v>
      </c>
      <c r="B26" s="667"/>
      <c r="C26" s="667"/>
      <c r="D26" s="667"/>
    </row>
    <row r="27" spans="1:8">
      <c r="A27" s="214"/>
      <c r="B27" s="214"/>
      <c r="C27" s="214"/>
      <c r="D27" s="214"/>
    </row>
    <row r="28" spans="1:8">
      <c r="A28" s="215"/>
      <c r="B28" s="103" t="s">
        <v>121</v>
      </c>
      <c r="C28" s="103" t="s">
        <v>22</v>
      </c>
      <c r="D28" s="103" t="s">
        <v>124</v>
      </c>
      <c r="E28" s="103" t="s">
        <v>521</v>
      </c>
      <c r="F28" s="103" t="s">
        <v>522</v>
      </c>
      <c r="H28" s="201" t="s">
        <v>523</v>
      </c>
    </row>
    <row r="29" spans="1:8">
      <c r="A29" s="149" t="s">
        <v>92</v>
      </c>
      <c r="B29" s="93">
        <v>348683.66</v>
      </c>
      <c r="C29" s="93">
        <v>0</v>
      </c>
      <c r="D29" s="93">
        <v>0</v>
      </c>
      <c r="E29" s="93">
        <v>0</v>
      </c>
      <c r="F29" s="93">
        <v>45541.36</v>
      </c>
      <c r="H29" s="241">
        <v>394225.01999999996</v>
      </c>
    </row>
    <row r="30" spans="1:8">
      <c r="A30" s="149" t="s">
        <v>93</v>
      </c>
      <c r="B30" s="93">
        <v>368888.95</v>
      </c>
      <c r="C30" s="93">
        <v>76116.2</v>
      </c>
      <c r="D30" s="93">
        <v>10890.82</v>
      </c>
      <c r="E30" s="93">
        <v>0</v>
      </c>
      <c r="F30" s="93">
        <v>27514.57</v>
      </c>
      <c r="H30" s="241">
        <v>483410.54000000004</v>
      </c>
    </row>
    <row r="31" spans="1:8">
      <c r="A31" s="149" t="s">
        <v>94</v>
      </c>
      <c r="B31" s="93">
        <v>462721</v>
      </c>
      <c r="C31" s="93">
        <v>31715.08</v>
      </c>
      <c r="D31" s="93">
        <v>9075.68</v>
      </c>
      <c r="E31" s="93">
        <v>18203.12</v>
      </c>
      <c r="F31" s="93">
        <v>95826.61</v>
      </c>
      <c r="H31" s="241">
        <v>617541.49</v>
      </c>
    </row>
    <row r="32" spans="1:8">
      <c r="A32" s="149" t="s">
        <v>95</v>
      </c>
      <c r="B32" s="93">
        <v>382714.17</v>
      </c>
      <c r="C32" s="93">
        <v>38058.1</v>
      </c>
      <c r="D32" s="93">
        <v>0</v>
      </c>
      <c r="E32" s="93">
        <v>0</v>
      </c>
      <c r="F32" s="93">
        <v>34156.019999999997</v>
      </c>
      <c r="H32" s="241">
        <v>454928.29</v>
      </c>
    </row>
    <row r="33" spans="1:8">
      <c r="A33" s="149" t="s">
        <v>96</v>
      </c>
      <c r="B33" s="93">
        <v>311185.65999999997</v>
      </c>
      <c r="C33" s="93">
        <v>60258.66</v>
      </c>
      <c r="D33" s="93">
        <v>0</v>
      </c>
      <c r="E33" s="93">
        <v>0</v>
      </c>
      <c r="F33" s="93">
        <v>47438.92</v>
      </c>
      <c r="H33" s="241">
        <v>418883.23999999993</v>
      </c>
    </row>
    <row r="34" spans="1:8">
      <c r="A34" s="149" t="s">
        <v>97</v>
      </c>
      <c r="B34" s="93">
        <v>417962.42</v>
      </c>
      <c r="C34" s="93">
        <v>15857.54</v>
      </c>
      <c r="D34" s="93">
        <v>0</v>
      </c>
      <c r="E34" s="93">
        <v>0</v>
      </c>
      <c r="F34" s="93">
        <v>72107.149999999994</v>
      </c>
      <c r="H34" s="241">
        <v>505927.11</v>
      </c>
    </row>
    <row r="35" spans="1:8">
      <c r="A35" s="149" t="s">
        <v>98</v>
      </c>
      <c r="B35" s="93">
        <v>600860.78</v>
      </c>
      <c r="C35" s="93">
        <v>374237.98</v>
      </c>
      <c r="D35" s="93">
        <v>104370.36</v>
      </c>
      <c r="E35" s="93">
        <v>0</v>
      </c>
      <c r="F35" s="93">
        <v>98672.95</v>
      </c>
      <c r="H35" s="241">
        <v>1178142.07</v>
      </c>
    </row>
    <row r="36" spans="1:8">
      <c r="A36" s="149" t="s">
        <v>99</v>
      </c>
      <c r="B36" s="93">
        <v>213709.34</v>
      </c>
      <c r="C36" s="93">
        <v>0</v>
      </c>
      <c r="D36" s="93">
        <v>0</v>
      </c>
      <c r="E36" s="93">
        <v>25698.52</v>
      </c>
      <c r="F36" s="93">
        <v>39848.69</v>
      </c>
      <c r="H36" s="241">
        <v>279256.55</v>
      </c>
    </row>
    <row r="37" spans="1:8">
      <c r="A37" s="149" t="s">
        <v>100</v>
      </c>
      <c r="B37" s="93">
        <v>67487.16</v>
      </c>
      <c r="C37" s="93">
        <v>0</v>
      </c>
      <c r="D37" s="93">
        <v>0</v>
      </c>
      <c r="E37" s="93">
        <v>0</v>
      </c>
      <c r="F37" s="93">
        <v>0</v>
      </c>
      <c r="H37" s="241">
        <v>67487.16</v>
      </c>
    </row>
    <row r="38" spans="1:8">
      <c r="A38" s="149" t="s">
        <v>101</v>
      </c>
      <c r="B38" s="93">
        <v>449518.83</v>
      </c>
      <c r="C38" s="93">
        <v>82459.22</v>
      </c>
      <c r="D38" s="93">
        <v>17243.8</v>
      </c>
      <c r="E38" s="93">
        <v>0</v>
      </c>
      <c r="F38" s="93">
        <v>36053.58</v>
      </c>
      <c r="H38" s="241">
        <v>585275.43000000005</v>
      </c>
    </row>
    <row r="39" spans="1:8">
      <c r="A39" s="149" t="s">
        <v>102</v>
      </c>
      <c r="B39" s="93">
        <v>246269.46</v>
      </c>
      <c r="C39" s="93">
        <v>38058.1</v>
      </c>
      <c r="D39" s="93">
        <v>0</v>
      </c>
      <c r="E39" s="93">
        <v>0</v>
      </c>
      <c r="F39" s="93">
        <v>0</v>
      </c>
      <c r="H39" s="241">
        <v>284327.56</v>
      </c>
    </row>
    <row r="40" spans="1:8">
      <c r="A40" s="149" t="s">
        <v>103</v>
      </c>
      <c r="B40" s="93">
        <v>425690.52</v>
      </c>
      <c r="C40" s="93">
        <v>152232.4</v>
      </c>
      <c r="D40" s="93">
        <v>32672.46</v>
      </c>
      <c r="E40" s="93">
        <v>0</v>
      </c>
      <c r="F40" s="93">
        <v>113853.4</v>
      </c>
      <c r="H40" s="241">
        <v>724448.78</v>
      </c>
    </row>
    <row r="41" spans="1:8">
      <c r="A41" s="149" t="s">
        <v>104</v>
      </c>
      <c r="B41" s="93">
        <v>112478.6</v>
      </c>
      <c r="C41" s="93">
        <v>0</v>
      </c>
      <c r="D41" s="93">
        <v>0</v>
      </c>
      <c r="E41" s="93">
        <v>0</v>
      </c>
      <c r="F41" s="93">
        <v>0</v>
      </c>
      <c r="H41" s="241">
        <v>112478.6</v>
      </c>
    </row>
    <row r="42" spans="1:8">
      <c r="A42" s="149" t="s">
        <v>105</v>
      </c>
      <c r="B42" s="93">
        <v>384860.38</v>
      </c>
      <c r="C42" s="93">
        <v>91973.74</v>
      </c>
      <c r="D42" s="93">
        <v>15428.66</v>
      </c>
      <c r="E42" s="93">
        <v>0</v>
      </c>
      <c r="F42" s="93">
        <v>11385.34</v>
      </c>
      <c r="H42" s="241">
        <v>503648.12</v>
      </c>
    </row>
    <row r="43" spans="1:8">
      <c r="A43" s="149" t="s">
        <v>106</v>
      </c>
      <c r="B43" s="93">
        <v>435269.21</v>
      </c>
      <c r="C43" s="93">
        <v>22200.560000000001</v>
      </c>
      <c r="D43" s="93">
        <v>6352.98</v>
      </c>
      <c r="E43" s="93">
        <v>0</v>
      </c>
      <c r="F43" s="93">
        <v>22770.68</v>
      </c>
      <c r="H43" s="241">
        <v>486593.43</v>
      </c>
    </row>
    <row r="44" spans="1:8">
      <c r="A44" s="149" t="s">
        <v>107</v>
      </c>
      <c r="B44" s="94">
        <v>748016.69</v>
      </c>
      <c r="C44" s="93">
        <v>212491.06</v>
      </c>
      <c r="D44" s="93">
        <v>39025.440000000002</v>
      </c>
      <c r="E44" s="93">
        <v>62104.76</v>
      </c>
      <c r="F44" s="93">
        <v>495262.29</v>
      </c>
      <c r="H44" s="243">
        <v>1556900.24</v>
      </c>
    </row>
    <row r="45" spans="1:8">
      <c r="A45" s="208" t="s">
        <v>108</v>
      </c>
      <c r="B45" s="97">
        <v>5976316.8299999982</v>
      </c>
      <c r="C45" s="249">
        <v>1195658.6400000001</v>
      </c>
      <c r="D45" s="249">
        <v>235060.2</v>
      </c>
      <c r="E45" s="249">
        <v>106006.39999999999</v>
      </c>
      <c r="F45" s="249">
        <v>1140431.56</v>
      </c>
      <c r="H45" s="245">
        <v>8653473.629999999</v>
      </c>
    </row>
  </sheetData>
  <pageMargins left="0.7" right="0.7"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C134"/>
  <sheetViews>
    <sheetView topLeftCell="A121" zoomScaleNormal="100" zoomScalePageLayoutView="60" workbookViewId="0">
      <selection activeCell="H16" sqref="H16"/>
    </sheetView>
  </sheetViews>
  <sheetFormatPr defaultColWidth="8.77734375" defaultRowHeight="15"/>
  <cols>
    <col min="1" max="1" width="12.109375" style="5" customWidth="1"/>
    <col min="2" max="2" width="11" style="5" customWidth="1"/>
    <col min="3" max="3" width="9" style="5" customWidth="1"/>
    <col min="4" max="4" width="10.21875" style="5" customWidth="1"/>
    <col min="5" max="5" width="8.77734375" style="5" bestFit="1" customWidth="1"/>
    <col min="6" max="6" width="11.5546875" style="5" bestFit="1" customWidth="1"/>
    <col min="7" max="17" width="8.77734375" style="5" bestFit="1" customWidth="1"/>
    <col min="18" max="18" width="9.5546875" style="5" bestFit="1" customWidth="1"/>
    <col min="19" max="16384" width="8.77734375" style="5"/>
  </cols>
  <sheetData>
    <row r="1" spans="1:29" ht="18">
      <c r="A1" s="10" t="s">
        <v>381</v>
      </c>
      <c r="B1" s="770"/>
      <c r="C1" s="770"/>
      <c r="D1" s="770"/>
      <c r="E1" s="770"/>
      <c r="F1" s="770"/>
      <c r="G1" s="770"/>
      <c r="H1" s="770"/>
      <c r="I1" s="770"/>
      <c r="J1" s="770"/>
      <c r="K1" s="770"/>
      <c r="L1" s="770"/>
      <c r="M1" s="770"/>
      <c r="N1" s="770"/>
      <c r="O1" s="770"/>
      <c r="P1" s="770"/>
      <c r="Q1" s="770"/>
      <c r="R1" s="770"/>
      <c r="S1" s="770"/>
      <c r="T1" s="770"/>
      <c r="U1" s="770"/>
      <c r="V1" s="770"/>
      <c r="W1" s="770"/>
      <c r="X1" s="770"/>
      <c r="Y1" s="770"/>
      <c r="Z1" s="770"/>
      <c r="AA1" s="770"/>
      <c r="AB1" s="770"/>
      <c r="AC1" s="770"/>
    </row>
    <row r="2" spans="1:29">
      <c r="A2" s="770" t="s">
        <v>524</v>
      </c>
      <c r="B2" s="770"/>
      <c r="C2" s="770"/>
      <c r="D2" s="770"/>
      <c r="E2" s="770"/>
      <c r="F2" s="770"/>
      <c r="G2" s="770"/>
      <c r="H2" s="770"/>
      <c r="I2" s="770"/>
      <c r="J2" s="770"/>
      <c r="K2" s="770"/>
      <c r="L2" s="770"/>
      <c r="M2" s="770"/>
      <c r="N2" s="770"/>
      <c r="O2" s="770"/>
      <c r="P2" s="770"/>
      <c r="Q2" s="770"/>
      <c r="R2" s="770"/>
      <c r="S2" s="770"/>
      <c r="T2" s="770"/>
      <c r="U2" s="770"/>
      <c r="V2" s="770"/>
      <c r="W2" s="770"/>
      <c r="X2" s="770"/>
      <c r="Y2" s="770"/>
      <c r="Z2" s="770"/>
      <c r="AA2" s="770"/>
      <c r="AB2" s="770"/>
      <c r="AC2" s="770"/>
    </row>
    <row r="4" spans="1:29">
      <c r="A4" s="85"/>
      <c r="B4" s="85"/>
      <c r="C4" s="85"/>
      <c r="D4" s="85"/>
      <c r="E4" s="85"/>
      <c r="F4" s="85"/>
      <c r="G4" s="85"/>
      <c r="H4" s="85"/>
      <c r="I4" s="85"/>
      <c r="J4" s="85"/>
      <c r="K4" s="85"/>
      <c r="L4" s="85"/>
      <c r="M4" s="85"/>
      <c r="N4" s="85"/>
      <c r="O4" s="770"/>
      <c r="P4" s="770"/>
      <c r="Q4" s="770"/>
      <c r="R4" s="770"/>
      <c r="S4" s="770"/>
      <c r="T4" s="770"/>
      <c r="U4" s="770"/>
      <c r="V4" s="770"/>
      <c r="W4" s="770"/>
      <c r="X4" s="770"/>
      <c r="Y4" s="770"/>
      <c r="Z4" s="770"/>
      <c r="AA4" s="770"/>
      <c r="AB4" s="770"/>
      <c r="AC4" s="770"/>
    </row>
    <row r="5" spans="1:29">
      <c r="A5" s="138" t="s">
        <v>391</v>
      </c>
      <c r="B5" s="138"/>
      <c r="C5" s="138" t="s">
        <v>392</v>
      </c>
      <c r="D5" s="138" t="s">
        <v>393</v>
      </c>
      <c r="E5" s="138" t="s">
        <v>525</v>
      </c>
      <c r="F5" s="138" t="s">
        <v>395</v>
      </c>
      <c r="G5" s="138" t="s">
        <v>396</v>
      </c>
      <c r="H5" s="138" t="s">
        <v>397</v>
      </c>
      <c r="I5" s="139"/>
      <c r="J5" s="139"/>
      <c r="K5" s="139"/>
      <c r="L5" s="139"/>
      <c r="M5" s="139"/>
      <c r="N5" s="85"/>
      <c r="O5" s="770"/>
      <c r="P5" s="770"/>
      <c r="Q5" s="770"/>
      <c r="R5" s="770"/>
      <c r="S5" s="770"/>
      <c r="T5" s="770"/>
      <c r="U5" s="770"/>
      <c r="V5" s="770"/>
      <c r="W5" s="770"/>
      <c r="X5" s="770"/>
      <c r="Y5" s="770"/>
      <c r="Z5" s="770"/>
      <c r="AA5" s="770"/>
      <c r="AB5" s="770"/>
      <c r="AC5" s="770"/>
    </row>
    <row r="6" spans="1:29">
      <c r="A6" s="140" t="s">
        <v>28</v>
      </c>
      <c r="B6" s="141"/>
      <c r="C6" s="142">
        <f>Basbelopp!C81</f>
        <v>29995.360000000001</v>
      </c>
      <c r="D6" s="142">
        <f>Basbelopp!D81</f>
        <v>18663.77</v>
      </c>
      <c r="E6" s="142">
        <f>Basbelopp!E81</f>
        <v>13331.26</v>
      </c>
      <c r="F6" s="142">
        <f>Basbelopp!F81</f>
        <v>5332.51</v>
      </c>
      <c r="G6" s="142">
        <f>Basbelopp!G81</f>
        <v>2666.25</v>
      </c>
      <c r="H6" s="142">
        <f>Basbelopp!H81</f>
        <v>1666.4</v>
      </c>
      <c r="I6" s="139"/>
      <c r="J6" s="139"/>
      <c r="K6" s="85"/>
      <c r="L6" s="85"/>
      <c r="M6" s="85"/>
      <c r="N6" s="85"/>
      <c r="O6" s="770"/>
      <c r="P6" s="770"/>
      <c r="Q6" s="770"/>
      <c r="R6" s="770"/>
      <c r="S6" s="770"/>
      <c r="T6" s="770"/>
      <c r="U6" s="770"/>
      <c r="V6" s="770"/>
      <c r="W6" s="770"/>
      <c r="X6" s="770"/>
      <c r="Y6" s="770"/>
      <c r="Z6" s="770"/>
      <c r="AA6" s="770"/>
      <c r="AB6" s="770"/>
      <c r="AC6" s="770"/>
    </row>
    <row r="7" spans="1:29">
      <c r="A7" s="85"/>
      <c r="B7" s="85"/>
      <c r="C7" s="85"/>
      <c r="D7" s="85"/>
      <c r="E7" s="85"/>
      <c r="F7" s="85"/>
      <c r="G7" s="85"/>
      <c r="H7" s="85"/>
      <c r="I7" s="85"/>
      <c r="J7" s="85"/>
      <c r="K7" s="85"/>
      <c r="L7" s="85"/>
      <c r="M7" s="85"/>
      <c r="N7" s="85"/>
      <c r="O7" s="770"/>
      <c r="P7" s="770"/>
      <c r="Q7" s="770"/>
      <c r="R7" s="770"/>
      <c r="S7" s="770"/>
      <c r="T7" s="770"/>
      <c r="U7" s="770"/>
      <c r="V7" s="770"/>
      <c r="W7" s="770"/>
      <c r="X7" s="770"/>
      <c r="Y7" s="770"/>
      <c r="Z7" s="770"/>
      <c r="AA7" s="770"/>
      <c r="AB7" s="770"/>
      <c r="AC7" s="770"/>
    </row>
    <row r="8" spans="1:29">
      <c r="A8" s="143" t="s">
        <v>526</v>
      </c>
      <c r="B8" s="143"/>
      <c r="C8" s="105"/>
      <c r="D8" s="105"/>
      <c r="E8" s="105"/>
      <c r="F8" s="105"/>
      <c r="G8" s="105"/>
      <c r="H8" s="105"/>
      <c r="I8" s="85"/>
      <c r="J8" s="85"/>
      <c r="K8" s="85"/>
      <c r="L8" s="85"/>
      <c r="M8" s="85"/>
      <c r="N8" s="85"/>
      <c r="O8" s="770"/>
      <c r="P8" s="770"/>
      <c r="Q8" s="770"/>
      <c r="R8" s="770"/>
      <c r="S8" s="770"/>
      <c r="T8" s="770"/>
      <c r="U8" s="770"/>
      <c r="V8" s="770"/>
      <c r="W8" s="770"/>
      <c r="X8" s="770"/>
      <c r="Y8" s="770"/>
      <c r="Z8" s="770"/>
      <c r="AA8" s="770"/>
      <c r="AB8" s="770"/>
      <c r="AC8" s="770"/>
    </row>
    <row r="9" spans="1:29">
      <c r="A9" s="85" t="s">
        <v>527</v>
      </c>
      <c r="B9" s="85"/>
      <c r="C9" s="342">
        <v>0.20200000000000001</v>
      </c>
      <c r="D9" s="342">
        <v>0.20200000000000001</v>
      </c>
      <c r="E9" s="342">
        <v>0.20200000000000001</v>
      </c>
      <c r="F9" s="342">
        <v>0.20200000000000001</v>
      </c>
      <c r="G9" s="342">
        <v>0.20200000000000001</v>
      </c>
      <c r="H9" s="342">
        <v>0.20200000000000001</v>
      </c>
      <c r="I9" s="144"/>
      <c r="J9" s="85"/>
      <c r="K9" s="85"/>
      <c r="L9" s="85"/>
      <c r="M9" s="85"/>
      <c r="N9" s="85"/>
      <c r="O9" s="770"/>
      <c r="P9" s="770"/>
      <c r="Q9" s="770"/>
      <c r="R9" s="770"/>
      <c r="S9" s="770"/>
      <c r="T9" s="770"/>
      <c r="U9" s="770"/>
      <c r="V9" s="770"/>
      <c r="W9" s="770"/>
      <c r="X9" s="770"/>
      <c r="Y9" s="770"/>
      <c r="Z9" s="770"/>
      <c r="AA9" s="770"/>
      <c r="AB9" s="770"/>
      <c r="AC9" s="770"/>
    </row>
    <row r="10" spans="1:29">
      <c r="A10" s="145" t="s">
        <v>528</v>
      </c>
      <c r="B10" s="145"/>
      <c r="C10" s="343">
        <f>C9+0.14</f>
        <v>0.34200000000000003</v>
      </c>
      <c r="D10" s="343">
        <f t="shared" ref="D10:H10" si="0">D9+0.14</f>
        <v>0.34200000000000003</v>
      </c>
      <c r="E10" s="343">
        <f t="shared" si="0"/>
        <v>0.34200000000000003</v>
      </c>
      <c r="F10" s="343">
        <f t="shared" si="0"/>
        <v>0.34200000000000003</v>
      </c>
      <c r="G10" s="343">
        <f t="shared" si="0"/>
        <v>0.34200000000000003</v>
      </c>
      <c r="H10" s="343">
        <f t="shared" si="0"/>
        <v>0.34200000000000003</v>
      </c>
      <c r="I10" s="85"/>
      <c r="J10" s="85"/>
      <c r="K10" s="85"/>
      <c r="L10" s="85"/>
      <c r="M10" s="85"/>
      <c r="N10" s="85"/>
      <c r="O10" s="770"/>
      <c r="P10" s="770"/>
      <c r="Q10" s="770"/>
      <c r="R10" s="770"/>
      <c r="S10" s="770"/>
      <c r="T10" s="770"/>
      <c r="U10" s="770"/>
      <c r="V10" s="770"/>
      <c r="W10" s="770"/>
      <c r="X10" s="770"/>
      <c r="Y10" s="770"/>
      <c r="Z10" s="770"/>
      <c r="AA10" s="770"/>
      <c r="AB10" s="770"/>
      <c r="AC10" s="770"/>
    </row>
    <row r="11" spans="1:29">
      <c r="A11" s="146" t="s">
        <v>529</v>
      </c>
      <c r="B11" s="146"/>
      <c r="C11" s="344">
        <f>C9+0.14+0.05</f>
        <v>0.39200000000000002</v>
      </c>
      <c r="D11" s="344">
        <f t="shared" ref="D11:H11" si="1">D9+0.14+0.05</f>
        <v>0.39200000000000002</v>
      </c>
      <c r="E11" s="344">
        <f t="shared" si="1"/>
        <v>0.39200000000000002</v>
      </c>
      <c r="F11" s="344">
        <f t="shared" si="1"/>
        <v>0.39200000000000002</v>
      </c>
      <c r="G11" s="344">
        <f t="shared" si="1"/>
        <v>0.39200000000000002</v>
      </c>
      <c r="H11" s="344">
        <f t="shared" si="1"/>
        <v>0.39200000000000002</v>
      </c>
      <c r="I11" s="85"/>
      <c r="J11" s="85"/>
      <c r="K11" s="85"/>
      <c r="L11" s="85"/>
      <c r="M11" s="85"/>
      <c r="N11" s="85"/>
      <c r="O11" s="770"/>
      <c r="P11" s="770"/>
      <c r="Q11" s="770"/>
      <c r="R11" s="770"/>
      <c r="S11" s="770"/>
      <c r="T11" s="770"/>
      <c r="U11" s="17"/>
      <c r="V11" s="17"/>
      <c r="W11" s="17"/>
      <c r="X11" s="17"/>
      <c r="Y11" s="17"/>
      <c r="Z11" s="17"/>
      <c r="AA11" s="17"/>
      <c r="AB11" s="17"/>
      <c r="AC11" s="17"/>
    </row>
    <row r="12" spans="1:29" ht="15.75">
      <c r="A12" s="85"/>
      <c r="B12" s="85"/>
      <c r="C12" s="85"/>
      <c r="D12" s="85"/>
      <c r="E12" s="85"/>
      <c r="F12" s="85"/>
      <c r="G12" s="85"/>
      <c r="H12" s="85"/>
      <c r="I12" s="85"/>
      <c r="J12" s="85"/>
      <c r="K12" s="85"/>
      <c r="L12" s="85"/>
      <c r="M12" s="85"/>
      <c r="N12" s="85"/>
      <c r="O12" s="770"/>
      <c r="P12" s="770"/>
      <c r="Q12" s="770"/>
      <c r="R12" s="770"/>
      <c r="S12" s="770"/>
      <c r="T12" s="770"/>
      <c r="U12"/>
      <c r="V12"/>
      <c r="W12"/>
      <c r="X12"/>
      <c r="Y12"/>
      <c r="Z12"/>
      <c r="AA12"/>
      <c r="AB12"/>
      <c r="AC12"/>
    </row>
    <row r="13" spans="1:29" ht="15.75">
      <c r="A13" s="104" t="s">
        <v>4</v>
      </c>
      <c r="B13" s="85"/>
      <c r="C13" s="104"/>
      <c r="D13" s="85"/>
      <c r="E13" s="85"/>
      <c r="F13" s="85"/>
      <c r="G13" s="85"/>
      <c r="H13" s="85"/>
      <c r="I13" s="85"/>
      <c r="J13" s="85"/>
      <c r="K13" s="85"/>
      <c r="L13" s="85"/>
      <c r="M13" s="85"/>
      <c r="N13" s="85"/>
      <c r="O13" s="6"/>
      <c r="P13" s="12"/>
      <c r="Q13" s="770"/>
      <c r="R13" s="17"/>
      <c r="S13" s="17"/>
      <c r="T13" s="770"/>
      <c r="U13"/>
      <c r="V13"/>
      <c r="W13"/>
      <c r="X13"/>
      <c r="Y13"/>
      <c r="Z13"/>
      <c r="AA13"/>
      <c r="AB13"/>
      <c r="AC13"/>
    </row>
    <row r="14" spans="1:29" ht="15.75">
      <c r="A14" s="147" t="str">
        <f>Invånare!F5</f>
        <v>2023</v>
      </c>
      <c r="B14" s="148" t="s">
        <v>530</v>
      </c>
      <c r="C14" s="85"/>
      <c r="D14" s="85"/>
      <c r="E14" s="85"/>
      <c r="F14" s="85"/>
      <c r="G14" s="85"/>
      <c r="H14" s="85"/>
      <c r="I14" s="85"/>
      <c r="J14" s="85"/>
      <c r="K14" s="85"/>
      <c r="L14" s="85"/>
      <c r="M14" s="85"/>
      <c r="N14" s="149"/>
      <c r="O14" s="12"/>
      <c r="P14" s="770"/>
      <c r="Q14" s="17"/>
      <c r="R14" s="17"/>
      <c r="S14" s="770"/>
      <c r="T14"/>
      <c r="U14"/>
      <c r="V14"/>
      <c r="W14"/>
      <c r="X14"/>
      <c r="Y14"/>
      <c r="Z14"/>
      <c r="AA14"/>
      <c r="AB14"/>
      <c r="AC14" s="770"/>
    </row>
    <row r="15" spans="1:29" ht="15.75">
      <c r="A15" s="150" t="s">
        <v>92</v>
      </c>
      <c r="B15" s="151">
        <f>Invånare!F6</f>
        <v>34</v>
      </c>
      <c r="C15" s="93"/>
      <c r="D15" s="152"/>
      <c r="E15" s="85"/>
      <c r="F15" s="85"/>
      <c r="G15" s="85"/>
      <c r="H15" s="85"/>
      <c r="I15" s="85"/>
      <c r="J15" s="85"/>
      <c r="K15" s="85"/>
      <c r="L15" s="85"/>
      <c r="M15" s="85"/>
      <c r="N15" s="149"/>
      <c r="O15" s="12"/>
      <c r="P15" s="770"/>
      <c r="Q15" s="17"/>
      <c r="R15" s="17"/>
      <c r="S15" s="770"/>
      <c r="T15"/>
      <c r="U15"/>
      <c r="V15"/>
      <c r="W15"/>
      <c r="X15"/>
      <c r="Y15"/>
      <c r="Z15"/>
      <c r="AA15"/>
      <c r="AB15"/>
      <c r="AC15" s="770"/>
    </row>
    <row r="16" spans="1:29" ht="15.75">
      <c r="A16" s="149" t="s">
        <v>93</v>
      </c>
      <c r="B16" s="152">
        <f>Invånare!F7</f>
        <v>90</v>
      </c>
      <c r="C16" s="93"/>
      <c r="D16" s="85"/>
      <c r="E16" s="85"/>
      <c r="F16" s="85"/>
      <c r="G16" s="85"/>
      <c r="H16" s="85"/>
      <c r="I16" s="149"/>
      <c r="J16" s="152"/>
      <c r="K16" s="85"/>
      <c r="L16" s="85"/>
      <c r="M16" s="85"/>
      <c r="N16" s="149"/>
      <c r="O16" s="12"/>
      <c r="P16" s="770"/>
      <c r="Q16" s="17"/>
      <c r="R16" s="17"/>
      <c r="S16"/>
      <c r="T16"/>
      <c r="U16"/>
      <c r="V16"/>
      <c r="W16"/>
      <c r="X16"/>
      <c r="Y16"/>
      <c r="Z16"/>
      <c r="AA16"/>
      <c r="AB16"/>
      <c r="AC16" s="770"/>
    </row>
    <row r="17" spans="1:28" ht="15.75">
      <c r="A17" s="149" t="s">
        <v>94</v>
      </c>
      <c r="B17" s="152">
        <f>Invånare!F8</f>
        <v>324</v>
      </c>
      <c r="C17" s="93"/>
      <c r="D17" s="85"/>
      <c r="E17" s="85"/>
      <c r="F17" s="85"/>
      <c r="G17" s="85"/>
      <c r="H17" s="85"/>
      <c r="I17" s="149"/>
      <c r="J17" s="152"/>
      <c r="K17" s="85"/>
      <c r="L17" s="85"/>
      <c r="M17" s="85"/>
      <c r="N17" s="149"/>
      <c r="O17" s="12"/>
      <c r="P17" s="770"/>
      <c r="Q17" s="17"/>
      <c r="R17" s="17"/>
      <c r="S17"/>
      <c r="T17"/>
      <c r="U17"/>
      <c r="V17"/>
      <c r="W17"/>
      <c r="X17"/>
      <c r="Y17"/>
      <c r="Z17"/>
      <c r="AA17"/>
      <c r="AB17"/>
    </row>
    <row r="18" spans="1:28" ht="15.75">
      <c r="A18" s="153" t="s">
        <v>95</v>
      </c>
      <c r="B18" s="154">
        <f>Invånare!F9</f>
        <v>49</v>
      </c>
      <c r="C18" s="93"/>
      <c r="D18" s="85"/>
      <c r="E18" s="85"/>
      <c r="F18" s="85"/>
      <c r="G18" s="85"/>
      <c r="H18" s="85"/>
      <c r="I18" s="149"/>
      <c r="J18" s="152"/>
      <c r="K18" s="85"/>
      <c r="L18" s="85"/>
      <c r="M18" s="85"/>
      <c r="N18" s="149"/>
      <c r="O18" s="12"/>
      <c r="P18" s="770"/>
      <c r="Q18" s="17"/>
      <c r="R18" s="17"/>
      <c r="S18"/>
      <c r="T18"/>
      <c r="U18"/>
      <c r="V18"/>
      <c r="W18"/>
      <c r="X18"/>
      <c r="Y18"/>
      <c r="Z18"/>
      <c r="AA18"/>
      <c r="AB18"/>
    </row>
    <row r="19" spans="1:28" ht="15.75">
      <c r="A19" s="149" t="s">
        <v>96</v>
      </c>
      <c r="B19" s="152">
        <f>Invånare!F10</f>
        <v>55</v>
      </c>
      <c r="C19" s="93"/>
      <c r="D19" s="85"/>
      <c r="E19" s="85"/>
      <c r="F19" s="85"/>
      <c r="G19" s="85"/>
      <c r="H19" s="85"/>
      <c r="I19" s="149"/>
      <c r="J19" s="152"/>
      <c r="K19" s="85"/>
      <c r="L19" s="85"/>
      <c r="M19" s="85"/>
      <c r="N19" s="149"/>
      <c r="O19" s="12"/>
      <c r="P19" s="770"/>
      <c r="Q19" s="17"/>
      <c r="R19" s="17"/>
      <c r="S19"/>
      <c r="T19"/>
      <c r="U19"/>
      <c r="V19"/>
      <c r="W19"/>
      <c r="X19"/>
      <c r="Y19"/>
      <c r="Z19"/>
      <c r="AA19"/>
      <c r="AB19"/>
    </row>
    <row r="20" spans="1:28" ht="15.75">
      <c r="A20" s="149" t="s">
        <v>97</v>
      </c>
      <c r="B20" s="152">
        <f>Invånare!F11</f>
        <v>194</v>
      </c>
      <c r="C20" s="93"/>
      <c r="D20" s="85"/>
      <c r="E20" s="85"/>
      <c r="F20" s="85"/>
      <c r="G20" s="85"/>
      <c r="H20" s="85"/>
      <c r="I20" s="149"/>
      <c r="J20" s="152"/>
      <c r="K20" s="85"/>
      <c r="L20" s="85"/>
      <c r="M20" s="85"/>
      <c r="N20" s="149"/>
      <c r="O20" s="12"/>
      <c r="P20" s="770"/>
      <c r="Q20" s="17"/>
      <c r="R20" s="17"/>
      <c r="S20"/>
      <c r="T20"/>
      <c r="U20"/>
      <c r="V20"/>
      <c r="W20"/>
      <c r="X20"/>
      <c r="Y20"/>
      <c r="Z20"/>
      <c r="AA20"/>
      <c r="AB20"/>
    </row>
    <row r="21" spans="1:28" ht="15.75">
      <c r="A21" s="149" t="s">
        <v>98</v>
      </c>
      <c r="B21" s="152">
        <f>Invånare!F12</f>
        <v>778</v>
      </c>
      <c r="C21" s="93"/>
      <c r="D21" s="85"/>
      <c r="E21" s="85"/>
      <c r="F21" s="85"/>
      <c r="G21" s="85"/>
      <c r="H21" s="85"/>
      <c r="I21" s="149"/>
      <c r="J21" s="152"/>
      <c r="K21" s="85"/>
      <c r="L21" s="85"/>
      <c r="M21" s="85"/>
      <c r="N21" s="149"/>
      <c r="O21" s="12"/>
      <c r="P21" s="770"/>
      <c r="Q21" s="17"/>
      <c r="R21" s="17"/>
      <c r="S21"/>
      <c r="T21"/>
      <c r="U21"/>
      <c r="V21"/>
      <c r="W21"/>
      <c r="X21"/>
      <c r="Y21"/>
      <c r="Z21"/>
      <c r="AA21"/>
      <c r="AB21"/>
    </row>
    <row r="22" spans="1:28" ht="15.75">
      <c r="A22" s="150" t="s">
        <v>99</v>
      </c>
      <c r="B22" s="151">
        <f>Invånare!F13</f>
        <v>19</v>
      </c>
      <c r="C22" s="93"/>
      <c r="D22" s="85"/>
      <c r="E22" s="85"/>
      <c r="F22" s="85"/>
      <c r="G22" s="85"/>
      <c r="H22" s="85"/>
      <c r="I22" s="149"/>
      <c r="J22" s="152"/>
      <c r="K22" s="85"/>
      <c r="L22" s="85"/>
      <c r="M22" s="85"/>
      <c r="N22" s="149"/>
      <c r="O22" s="12"/>
      <c r="P22" s="770"/>
      <c r="Q22" s="17"/>
      <c r="R22" s="17"/>
      <c r="S22"/>
      <c r="T22"/>
      <c r="U22"/>
      <c r="V22"/>
      <c r="W22"/>
      <c r="X22"/>
      <c r="Y22"/>
      <c r="Z22"/>
      <c r="AA22"/>
      <c r="AB22"/>
    </row>
    <row r="23" spans="1:28" ht="15.75">
      <c r="A23" s="150" t="s">
        <v>100</v>
      </c>
      <c r="B23" s="151">
        <f>Invånare!F14</f>
        <v>4</v>
      </c>
      <c r="C23" s="93"/>
      <c r="D23" s="85"/>
      <c r="E23" s="85"/>
      <c r="F23" s="85"/>
      <c r="G23" s="85"/>
      <c r="H23" s="85"/>
      <c r="I23" s="149"/>
      <c r="J23" s="152"/>
      <c r="K23" s="85"/>
      <c r="L23" s="85"/>
      <c r="M23" s="85"/>
      <c r="N23" s="149"/>
      <c r="O23" s="12"/>
      <c r="P23" s="770"/>
      <c r="Q23" s="17"/>
      <c r="R23" s="17"/>
      <c r="S23"/>
      <c r="T23"/>
      <c r="U23"/>
      <c r="V23"/>
      <c r="W23"/>
      <c r="X23"/>
      <c r="Y23"/>
      <c r="Z23"/>
      <c r="AA23"/>
      <c r="AB23"/>
    </row>
    <row r="24" spans="1:28" ht="15.75">
      <c r="A24" s="149" t="s">
        <v>101</v>
      </c>
      <c r="B24" s="152">
        <f>Invånare!F15</f>
        <v>313</v>
      </c>
      <c r="C24" s="93"/>
      <c r="D24" s="85"/>
      <c r="E24" s="85"/>
      <c r="F24" s="85"/>
      <c r="G24" s="85"/>
      <c r="H24" s="85"/>
      <c r="I24" s="149"/>
      <c r="J24" s="152"/>
      <c r="K24" s="85"/>
      <c r="L24" s="85"/>
      <c r="M24" s="85"/>
      <c r="N24" s="149"/>
      <c r="O24" s="12"/>
      <c r="P24" s="770"/>
      <c r="Q24" s="17"/>
      <c r="R24" s="17"/>
      <c r="S24"/>
      <c r="T24"/>
      <c r="U24"/>
      <c r="V24"/>
      <c r="W24"/>
      <c r="X24"/>
      <c r="Y24"/>
      <c r="Z24"/>
      <c r="AA24"/>
      <c r="AB24"/>
    </row>
    <row r="25" spans="1:28" ht="15.75">
      <c r="A25" s="149" t="s">
        <v>102</v>
      </c>
      <c r="B25" s="152">
        <f>Invånare!F16</f>
        <v>43</v>
      </c>
      <c r="C25" s="93"/>
      <c r="D25" s="85"/>
      <c r="E25" s="85"/>
      <c r="F25" s="85"/>
      <c r="G25" s="85"/>
      <c r="H25" s="85"/>
      <c r="I25" s="149"/>
      <c r="J25" s="152"/>
      <c r="K25" s="85"/>
      <c r="L25" s="85"/>
      <c r="M25" s="85"/>
      <c r="N25" s="149"/>
      <c r="O25" s="12"/>
      <c r="P25" s="770"/>
      <c r="Q25" s="17"/>
      <c r="R25" s="17"/>
      <c r="S25"/>
      <c r="T25"/>
      <c r="U25"/>
      <c r="V25"/>
      <c r="W25"/>
      <c r="X25"/>
      <c r="Y25"/>
      <c r="Z25"/>
      <c r="AA25"/>
      <c r="AB25"/>
    </row>
    <row r="26" spans="1:28" ht="15.75">
      <c r="A26" s="149" t="s">
        <v>103</v>
      </c>
      <c r="B26" s="152">
        <f>Invånare!F17</f>
        <v>229</v>
      </c>
      <c r="C26" s="93"/>
      <c r="D26" s="85"/>
      <c r="E26" s="85"/>
      <c r="F26" s="85"/>
      <c r="G26" s="85"/>
      <c r="H26" s="85"/>
      <c r="I26" s="149"/>
      <c r="J26" s="152"/>
      <c r="K26" s="85"/>
      <c r="L26" s="85"/>
      <c r="M26" s="85"/>
      <c r="N26" s="149"/>
      <c r="O26" s="12"/>
      <c r="P26" s="770"/>
      <c r="Q26" s="17"/>
      <c r="R26" s="17"/>
      <c r="S26"/>
      <c r="T26"/>
      <c r="U26"/>
      <c r="V26"/>
      <c r="W26"/>
      <c r="X26"/>
      <c r="Y26"/>
      <c r="Z26"/>
      <c r="AA26"/>
      <c r="AB26"/>
    </row>
    <row r="27" spans="1:28" ht="15.75">
      <c r="A27" s="150" t="s">
        <v>104</v>
      </c>
      <c r="B27" s="151">
        <f>Invånare!F18</f>
        <v>12</v>
      </c>
      <c r="C27" s="93"/>
      <c r="D27" s="85"/>
      <c r="E27" s="85"/>
      <c r="F27" s="85"/>
      <c r="G27" s="85"/>
      <c r="H27" s="85"/>
      <c r="I27" s="149"/>
      <c r="J27" s="152"/>
      <c r="K27" s="85"/>
      <c r="L27" s="85"/>
      <c r="M27" s="85"/>
      <c r="N27" s="149"/>
      <c r="O27" s="12"/>
      <c r="P27" s="770"/>
      <c r="Q27" s="17"/>
      <c r="R27" s="17"/>
      <c r="S27"/>
      <c r="T27"/>
      <c r="U27"/>
      <c r="V27"/>
      <c r="W27"/>
      <c r="X27"/>
      <c r="Y27"/>
      <c r="Z27"/>
      <c r="AA27"/>
      <c r="AB27"/>
    </row>
    <row r="28" spans="1:28" ht="15.75">
      <c r="A28" s="149" t="s">
        <v>105</v>
      </c>
      <c r="B28" s="152">
        <f>Invånare!F19</f>
        <v>112</v>
      </c>
      <c r="C28" s="93"/>
      <c r="D28" s="85"/>
      <c r="E28" s="85"/>
      <c r="F28" s="85"/>
      <c r="G28" s="85"/>
      <c r="H28" s="85"/>
      <c r="I28" s="149"/>
      <c r="J28" s="152"/>
      <c r="K28" s="85"/>
      <c r="L28" s="85"/>
      <c r="M28" s="85"/>
      <c r="N28" s="149"/>
      <c r="O28" s="13"/>
      <c r="P28" s="770"/>
      <c r="Q28" s="17"/>
      <c r="R28" s="17"/>
      <c r="S28"/>
      <c r="T28"/>
      <c r="U28"/>
      <c r="V28"/>
      <c r="W28"/>
      <c r="X28"/>
      <c r="Y28"/>
      <c r="Z28"/>
      <c r="AA28"/>
      <c r="AB28"/>
    </row>
    <row r="29" spans="1:28">
      <c r="A29" s="153" t="s">
        <v>106</v>
      </c>
      <c r="B29" s="154">
        <f>Invånare!F20</f>
        <v>42</v>
      </c>
      <c r="C29" s="93"/>
      <c r="D29" s="85"/>
      <c r="E29" s="85"/>
      <c r="F29" s="85"/>
      <c r="G29" s="85"/>
      <c r="H29" s="85"/>
      <c r="I29" s="149"/>
      <c r="J29" s="152"/>
      <c r="K29" s="85"/>
      <c r="L29" s="85"/>
      <c r="M29" s="85"/>
      <c r="N29" s="53"/>
      <c r="O29" s="770"/>
      <c r="P29" s="770"/>
      <c r="Q29" s="770"/>
      <c r="R29" s="770"/>
      <c r="S29" s="770"/>
      <c r="T29" s="770"/>
      <c r="U29" s="770"/>
      <c r="V29" s="770"/>
      <c r="W29" s="770"/>
      <c r="X29" s="770"/>
      <c r="Y29" s="770"/>
      <c r="Z29" s="770"/>
      <c r="AA29" s="770"/>
      <c r="AB29" s="770"/>
    </row>
    <row r="30" spans="1:28">
      <c r="A30" s="155" t="s">
        <v>107</v>
      </c>
      <c r="B30" s="156">
        <f>Invånare!F21</f>
        <v>1231</v>
      </c>
      <c r="C30" s="93"/>
      <c r="D30" s="85"/>
      <c r="E30" s="85"/>
      <c r="F30" s="85"/>
      <c r="G30" s="85"/>
      <c r="H30" s="85"/>
      <c r="I30" s="149"/>
      <c r="J30" s="152"/>
      <c r="K30" s="85"/>
      <c r="L30" s="85"/>
      <c r="M30" s="85"/>
      <c r="N30" s="85"/>
      <c r="O30" s="770"/>
      <c r="P30" s="770"/>
      <c r="Q30" s="770"/>
      <c r="R30" s="770"/>
      <c r="S30" s="770"/>
      <c r="T30" s="770"/>
      <c r="U30" s="770"/>
      <c r="V30" s="770"/>
      <c r="W30" s="770"/>
      <c r="X30" s="770"/>
      <c r="Y30" s="770"/>
      <c r="Z30" s="770"/>
      <c r="AA30" s="770"/>
      <c r="AB30" s="770"/>
    </row>
    <row r="31" spans="1:28">
      <c r="A31" s="149" t="s">
        <v>108</v>
      </c>
      <c r="B31" s="157">
        <f>SUM(B15:B30)</f>
        <v>3529</v>
      </c>
      <c r="C31" s="93"/>
      <c r="D31" s="85"/>
      <c r="E31" s="85"/>
      <c r="F31" s="85"/>
      <c r="G31" s="85"/>
      <c r="H31" s="85"/>
      <c r="I31" s="149"/>
      <c r="J31" s="157"/>
      <c r="K31" s="85"/>
      <c r="L31" s="85"/>
      <c r="M31" s="85"/>
      <c r="N31" s="85"/>
      <c r="O31" s="770"/>
      <c r="P31" s="770"/>
      <c r="Q31" s="770"/>
      <c r="R31" s="770"/>
      <c r="S31" s="770"/>
      <c r="T31" s="770"/>
      <c r="U31" s="770"/>
      <c r="V31" s="770"/>
      <c r="W31" s="770"/>
      <c r="X31" s="770"/>
      <c r="Y31" s="770"/>
      <c r="Z31" s="770"/>
      <c r="AA31" s="770"/>
      <c r="AB31" s="770"/>
    </row>
    <row r="32" spans="1:28">
      <c r="A32" s="85"/>
      <c r="B32" s="21"/>
      <c r="C32" s="85"/>
      <c r="D32" s="85"/>
      <c r="E32" s="85"/>
      <c r="F32" s="85"/>
      <c r="G32" s="85"/>
      <c r="H32" s="85"/>
      <c r="I32" s="85"/>
      <c r="J32" s="85"/>
      <c r="K32" s="85"/>
      <c r="L32" s="85"/>
      <c r="M32" s="85"/>
      <c r="N32" s="85"/>
      <c r="O32" s="770"/>
      <c r="P32" s="770"/>
      <c r="Q32" s="770"/>
      <c r="R32" s="770"/>
      <c r="S32" s="770"/>
      <c r="T32" s="770"/>
      <c r="U32" s="770"/>
      <c r="V32" s="770"/>
      <c r="W32" s="770"/>
      <c r="X32" s="770"/>
      <c r="Y32" s="770"/>
      <c r="Z32" s="770"/>
      <c r="AA32" s="770"/>
      <c r="AB32" s="770"/>
    </row>
    <row r="33" spans="1:18">
      <c r="A33" s="85"/>
      <c r="B33" s="85"/>
      <c r="C33" s="85"/>
      <c r="D33" s="85"/>
      <c r="E33" s="85"/>
      <c r="F33" s="85"/>
      <c r="G33" s="85"/>
      <c r="H33" s="85"/>
      <c r="I33" s="85"/>
      <c r="J33" s="85"/>
      <c r="K33" s="85"/>
      <c r="L33" s="85"/>
      <c r="M33" s="85"/>
      <c r="N33" s="85"/>
      <c r="O33" s="770"/>
      <c r="P33" s="770"/>
      <c r="Q33" s="770"/>
      <c r="R33" s="770"/>
    </row>
    <row r="34" spans="1:18">
      <c r="A34" s="231"/>
      <c r="B34" s="85"/>
      <c r="C34" s="85"/>
      <c r="D34" s="85"/>
      <c r="E34" s="85"/>
      <c r="F34" s="231"/>
      <c r="G34" s="85"/>
      <c r="H34" s="85"/>
      <c r="I34" s="85"/>
      <c r="J34" s="85"/>
      <c r="K34" s="231"/>
      <c r="L34" s="85"/>
      <c r="M34" s="85"/>
      <c r="N34" s="85"/>
      <c r="O34" s="770"/>
      <c r="P34" s="770"/>
      <c r="Q34" s="770"/>
      <c r="R34" s="770"/>
    </row>
    <row r="35" spans="1:18">
      <c r="A35" s="176"/>
      <c r="B35" s="175">
        <v>2024</v>
      </c>
      <c r="C35" s="176"/>
      <c r="D35" s="176"/>
      <c r="E35" s="176"/>
      <c r="F35" s="176"/>
      <c r="G35" s="176"/>
      <c r="H35" s="176"/>
      <c r="I35" s="176"/>
      <c r="J35" s="176"/>
      <c r="K35" s="176"/>
      <c r="L35" s="176"/>
      <c r="M35" s="176"/>
      <c r="N35" s="85"/>
      <c r="O35" s="770"/>
      <c r="P35" s="770"/>
      <c r="Q35" s="770"/>
      <c r="R35" s="770"/>
    </row>
    <row r="36" spans="1:18" ht="15.75" thickBot="1">
      <c r="A36" s="158"/>
      <c r="B36" s="159" t="s">
        <v>67</v>
      </c>
      <c r="C36" s="159"/>
      <c r="D36" s="110" t="s">
        <v>391</v>
      </c>
      <c r="E36" s="160"/>
      <c r="F36" s="161" t="s">
        <v>392</v>
      </c>
      <c r="G36" s="161" t="s">
        <v>393</v>
      </c>
      <c r="H36" s="161" t="s">
        <v>394</v>
      </c>
      <c r="I36" s="161" t="s">
        <v>395</v>
      </c>
      <c r="J36" s="161" t="s">
        <v>396</v>
      </c>
      <c r="K36" s="161" t="s">
        <v>397</v>
      </c>
      <c r="L36" s="162"/>
      <c r="M36" s="158"/>
      <c r="N36" s="85"/>
      <c r="O36" s="770"/>
      <c r="P36" s="770"/>
      <c r="Q36" s="770"/>
      <c r="R36" s="770"/>
    </row>
    <row r="37" spans="1:18" ht="16.5" thickTop="1" thickBot="1">
      <c r="A37" s="163"/>
      <c r="B37" s="85"/>
      <c r="C37" s="85"/>
      <c r="D37" s="164" t="s">
        <v>531</v>
      </c>
      <c r="E37" s="165"/>
      <c r="F37" s="166">
        <f>B15</f>
        <v>34</v>
      </c>
      <c r="G37" s="166">
        <v>0</v>
      </c>
      <c r="H37" s="166">
        <v>0</v>
      </c>
      <c r="I37" s="166">
        <v>0</v>
      </c>
      <c r="J37" s="166">
        <v>0</v>
      </c>
      <c r="K37" s="166">
        <v>0</v>
      </c>
      <c r="L37" s="165"/>
      <c r="M37" s="101">
        <f>B15-(SUM(F37:K37))</f>
        <v>0</v>
      </c>
      <c r="N37" s="85"/>
      <c r="O37" s="770"/>
      <c r="P37" s="770"/>
      <c r="Q37" s="770"/>
      <c r="R37" s="770"/>
    </row>
    <row r="38" spans="1:18" ht="15.75" thickTop="1">
      <c r="A38" s="167" t="s">
        <v>92</v>
      </c>
      <c r="B38" s="166">
        <f>SUM(F38:K38)</f>
        <v>1019842.24</v>
      </c>
      <c r="C38" s="166"/>
      <c r="D38" s="164" t="s">
        <v>532</v>
      </c>
      <c r="E38" s="165"/>
      <c r="F38" s="166">
        <f>F37*$C$6</f>
        <v>1019842.24</v>
      </c>
      <c r="G38" s="166">
        <f>G37*$D$6</f>
        <v>0</v>
      </c>
      <c r="H38" s="166">
        <f>H37*$E$6</f>
        <v>0</v>
      </c>
      <c r="I38" s="166">
        <f>I37*$F$6</f>
        <v>0</v>
      </c>
      <c r="J38" s="166">
        <f>J37*$G$6</f>
        <v>0</v>
      </c>
      <c r="K38" s="166">
        <f>K37*$H$6</f>
        <v>0</v>
      </c>
      <c r="L38" s="168"/>
      <c r="M38" s="85"/>
      <c r="N38" s="85"/>
      <c r="O38" s="770"/>
      <c r="P38" s="770"/>
      <c r="Q38" s="770"/>
      <c r="R38" s="770"/>
    </row>
    <row r="39" spans="1:18">
      <c r="A39" s="163"/>
      <c r="B39" s="165"/>
      <c r="C39" s="165"/>
      <c r="D39" s="164" t="s">
        <v>533</v>
      </c>
      <c r="E39" s="165"/>
      <c r="F39" s="344">
        <f>$C$11</f>
        <v>0.39200000000000002</v>
      </c>
      <c r="G39" s="344">
        <f>$D$11</f>
        <v>0.39200000000000002</v>
      </c>
      <c r="H39" s="344">
        <f>$E$11</f>
        <v>0.39200000000000002</v>
      </c>
      <c r="I39" s="344">
        <f>$F$11</f>
        <v>0.39200000000000002</v>
      </c>
      <c r="J39" s="344">
        <f>$G$11</f>
        <v>0.39200000000000002</v>
      </c>
      <c r="K39" s="344">
        <f>$H$11</f>
        <v>0.39200000000000002</v>
      </c>
      <c r="L39" s="165"/>
      <c r="M39" s="85"/>
      <c r="N39" s="85"/>
      <c r="O39" s="770"/>
      <c r="P39" s="770"/>
      <c r="Q39" s="770"/>
      <c r="R39" s="770"/>
    </row>
    <row r="40" spans="1:18">
      <c r="A40" s="169"/>
      <c r="B40" s="310">
        <f>ROUND(SUM(F40:K40),2)</f>
        <v>399778.16</v>
      </c>
      <c r="C40" s="170"/>
      <c r="D40" s="171" t="s">
        <v>534</v>
      </c>
      <c r="E40" s="172"/>
      <c r="F40" s="173">
        <f>F38*F39</f>
        <v>399778.15808000002</v>
      </c>
      <c r="G40" s="173">
        <f t="shared" ref="G40:K40" si="2">G38*G39</f>
        <v>0</v>
      </c>
      <c r="H40" s="173">
        <f t="shared" si="2"/>
        <v>0</v>
      </c>
      <c r="I40" s="173">
        <f t="shared" si="2"/>
        <v>0</v>
      </c>
      <c r="J40" s="173">
        <f t="shared" si="2"/>
        <v>0</v>
      </c>
      <c r="K40" s="173">
        <f t="shared" si="2"/>
        <v>0</v>
      </c>
      <c r="L40" s="172"/>
      <c r="M40" s="172"/>
      <c r="N40" s="85"/>
      <c r="O40" s="770"/>
      <c r="P40" s="770"/>
      <c r="Q40" s="770"/>
      <c r="R40" s="770"/>
    </row>
    <row r="41" spans="1:18">
      <c r="A41" s="85"/>
      <c r="B41" s="85"/>
      <c r="C41" s="85"/>
      <c r="D41" s="85"/>
      <c r="E41" s="85"/>
      <c r="F41" s="85"/>
      <c r="G41" s="85"/>
      <c r="H41" s="85"/>
      <c r="I41" s="85"/>
      <c r="J41" s="85"/>
      <c r="K41" s="85"/>
      <c r="L41" s="85"/>
      <c r="M41" s="85"/>
      <c r="N41" s="85"/>
      <c r="O41" s="770"/>
      <c r="P41" s="770"/>
      <c r="Q41" s="770"/>
      <c r="R41" s="16"/>
    </row>
    <row r="42" spans="1:18" ht="15.75" thickBot="1">
      <c r="A42" s="158"/>
      <c r="B42" s="159" t="s">
        <v>67</v>
      </c>
      <c r="C42" s="159"/>
      <c r="D42" s="110" t="s">
        <v>391</v>
      </c>
      <c r="E42" s="160"/>
      <c r="F42" s="161" t="s">
        <v>392</v>
      </c>
      <c r="G42" s="161" t="s">
        <v>393</v>
      </c>
      <c r="H42" s="161" t="s">
        <v>394</v>
      </c>
      <c r="I42" s="161" t="s">
        <v>395</v>
      </c>
      <c r="J42" s="161" t="s">
        <v>396</v>
      </c>
      <c r="K42" s="161" t="s">
        <v>397</v>
      </c>
      <c r="L42" s="162"/>
      <c r="M42" s="158"/>
      <c r="N42" s="85"/>
      <c r="O42" s="770"/>
      <c r="P42" s="770"/>
      <c r="Q42" s="770"/>
      <c r="R42" s="770"/>
    </row>
    <row r="43" spans="1:18" ht="16.5" thickTop="1" thickBot="1">
      <c r="A43" s="163"/>
      <c r="B43" s="85"/>
      <c r="C43" s="85"/>
      <c r="D43" s="164" t="s">
        <v>531</v>
      </c>
      <c r="E43" s="165"/>
      <c r="F43" s="166">
        <v>40</v>
      </c>
      <c r="G43" s="166">
        <v>20</v>
      </c>
      <c r="H43" s="166">
        <v>20</v>
      </c>
      <c r="I43" s="166">
        <v>10</v>
      </c>
      <c r="J43" s="166">
        <v>0</v>
      </c>
      <c r="K43" s="166">
        <v>0</v>
      </c>
      <c r="L43" s="165"/>
      <c r="M43" s="101">
        <f>B16-(SUM(F43:K43))</f>
        <v>0</v>
      </c>
      <c r="N43" s="85"/>
      <c r="O43" s="770"/>
      <c r="P43" s="770"/>
      <c r="Q43" s="770"/>
      <c r="R43" s="770"/>
    </row>
    <row r="44" spans="1:18" ht="15.75" thickTop="1">
      <c r="A44" s="149" t="s">
        <v>93</v>
      </c>
      <c r="B44" s="166">
        <f>SUM(F44:K44)</f>
        <v>1893040.0999999999</v>
      </c>
      <c r="C44" s="166"/>
      <c r="D44" s="164" t="s">
        <v>532</v>
      </c>
      <c r="E44" s="165"/>
      <c r="F44" s="166">
        <f>F43*$C$6</f>
        <v>1199814.3999999999</v>
      </c>
      <c r="G44" s="166">
        <f>G43*$D$6</f>
        <v>373275.4</v>
      </c>
      <c r="H44" s="166">
        <f>H43*$E$6</f>
        <v>266625.2</v>
      </c>
      <c r="I44" s="166">
        <f>I43*$F$6</f>
        <v>53325.100000000006</v>
      </c>
      <c r="J44" s="166">
        <f>J43*$G$6</f>
        <v>0</v>
      </c>
      <c r="K44" s="166">
        <f>K43*$H$6</f>
        <v>0</v>
      </c>
      <c r="L44" s="168"/>
      <c r="M44" s="85"/>
      <c r="N44" s="85"/>
      <c r="O44" s="770"/>
      <c r="P44" s="770"/>
      <c r="Q44" s="770"/>
      <c r="R44" s="770"/>
    </row>
    <row r="45" spans="1:18">
      <c r="A45" s="163"/>
      <c r="B45" s="165"/>
      <c r="C45" s="165"/>
      <c r="D45" s="164" t="s">
        <v>533</v>
      </c>
      <c r="E45" s="165"/>
      <c r="F45" s="342">
        <f>$C$9</f>
        <v>0.20200000000000001</v>
      </c>
      <c r="G45" s="342">
        <f>$D$9</f>
        <v>0.20200000000000001</v>
      </c>
      <c r="H45" s="342">
        <f>$E$9</f>
        <v>0.20200000000000001</v>
      </c>
      <c r="I45" s="342">
        <f>$F$9</f>
        <v>0.20200000000000001</v>
      </c>
      <c r="J45" s="342">
        <f>$G$9</f>
        <v>0.20200000000000001</v>
      </c>
      <c r="K45" s="342">
        <f>$H$9</f>
        <v>0.20200000000000001</v>
      </c>
      <c r="L45" s="165"/>
      <c r="M45" s="85"/>
      <c r="N45" s="85"/>
      <c r="O45" s="770"/>
      <c r="P45" s="770"/>
      <c r="Q45" s="770"/>
      <c r="R45" s="770"/>
    </row>
    <row r="46" spans="1:18">
      <c r="A46" s="169"/>
      <c r="B46" s="310">
        <f>ROUND(SUM(F46:K46),2)</f>
        <v>382394.1</v>
      </c>
      <c r="C46" s="170"/>
      <c r="D46" s="171" t="s">
        <v>534</v>
      </c>
      <c r="E46" s="172"/>
      <c r="F46" s="173">
        <f>F44*F45</f>
        <v>242362.50880000001</v>
      </c>
      <c r="G46" s="173">
        <f t="shared" ref="G46:K46" si="3">G44*G45</f>
        <v>75401.630800000014</v>
      </c>
      <c r="H46" s="173">
        <f t="shared" si="3"/>
        <v>53858.290400000005</v>
      </c>
      <c r="I46" s="173">
        <f t="shared" si="3"/>
        <v>10771.670200000002</v>
      </c>
      <c r="J46" s="173">
        <f t="shared" si="3"/>
        <v>0</v>
      </c>
      <c r="K46" s="173">
        <f t="shared" si="3"/>
        <v>0</v>
      </c>
      <c r="L46" s="172"/>
      <c r="M46" s="172"/>
      <c r="N46" s="85"/>
      <c r="O46" s="770"/>
      <c r="P46" s="770"/>
      <c r="Q46" s="770"/>
      <c r="R46" s="770"/>
    </row>
    <row r="47" spans="1:18">
      <c r="A47" s="85"/>
      <c r="B47" s="85"/>
      <c r="C47" s="85"/>
      <c r="D47" s="85"/>
      <c r="E47" s="85"/>
      <c r="F47" s="85"/>
      <c r="G47" s="85"/>
      <c r="H47" s="85"/>
      <c r="I47" s="85"/>
      <c r="J47" s="85"/>
      <c r="K47" s="85"/>
      <c r="L47" s="85"/>
      <c r="M47" s="85"/>
      <c r="N47" s="85"/>
      <c r="O47" s="770"/>
      <c r="P47" s="770"/>
      <c r="Q47" s="770"/>
      <c r="R47" s="770"/>
    </row>
    <row r="48" spans="1:18" ht="15.75" thickBot="1">
      <c r="A48" s="85"/>
      <c r="B48" s="174" t="s">
        <v>67</v>
      </c>
      <c r="C48" s="174"/>
      <c r="D48" s="164" t="s">
        <v>391</v>
      </c>
      <c r="E48" s="165"/>
      <c r="F48" s="139" t="s">
        <v>392</v>
      </c>
      <c r="G48" s="139" t="s">
        <v>393</v>
      </c>
      <c r="H48" s="139" t="s">
        <v>394</v>
      </c>
      <c r="I48" s="139" t="s">
        <v>395</v>
      </c>
      <c r="J48" s="139" t="s">
        <v>396</v>
      </c>
      <c r="K48" s="139" t="s">
        <v>397</v>
      </c>
      <c r="L48" s="85"/>
      <c r="M48" s="85"/>
      <c r="N48" s="85"/>
      <c r="O48" s="770"/>
      <c r="P48" s="770"/>
      <c r="Q48" s="770"/>
      <c r="R48" s="770"/>
    </row>
    <row r="49" spans="1:14" ht="16.5" thickTop="1" thickBot="1">
      <c r="A49" s="163"/>
      <c r="B49" s="85"/>
      <c r="C49" s="85"/>
      <c r="D49" s="164" t="s">
        <v>531</v>
      </c>
      <c r="E49" s="165"/>
      <c r="F49" s="166">
        <v>40</v>
      </c>
      <c r="G49" s="166">
        <v>20</v>
      </c>
      <c r="H49" s="166">
        <v>20</v>
      </c>
      <c r="I49" s="166">
        <v>20</v>
      </c>
      <c r="J49" s="166">
        <v>50</v>
      </c>
      <c r="K49" s="166">
        <v>174</v>
      </c>
      <c r="L49" s="85"/>
      <c r="M49" s="101">
        <f>B17-(SUM(F49:K49))</f>
        <v>0</v>
      </c>
      <c r="N49" s="85"/>
    </row>
    <row r="50" spans="1:14" ht="15.75" thickTop="1">
      <c r="A50" s="149" t="s">
        <v>94</v>
      </c>
      <c r="B50" s="166">
        <f>SUM(F50:K50)</f>
        <v>2369631.2999999998</v>
      </c>
      <c r="C50" s="166"/>
      <c r="D50" s="164" t="s">
        <v>532</v>
      </c>
      <c r="E50" s="165"/>
      <c r="F50" s="166">
        <f>F49*$C$6</f>
        <v>1199814.3999999999</v>
      </c>
      <c r="G50" s="166">
        <f>G49*$D$6</f>
        <v>373275.4</v>
      </c>
      <c r="H50" s="166">
        <f>H49*$E$6</f>
        <v>266625.2</v>
      </c>
      <c r="I50" s="166">
        <f>I49*$F$6</f>
        <v>106650.20000000001</v>
      </c>
      <c r="J50" s="166">
        <f>J49*$G$6</f>
        <v>133312.5</v>
      </c>
      <c r="K50" s="166">
        <f>K49*$H$6</f>
        <v>289953.60000000003</v>
      </c>
      <c r="L50" s="85"/>
      <c r="M50" s="85"/>
      <c r="N50" s="85"/>
    </row>
    <row r="51" spans="1:14">
      <c r="A51" s="163"/>
      <c r="B51" s="165"/>
      <c r="C51" s="165"/>
      <c r="D51" s="164" t="s">
        <v>533</v>
      </c>
      <c r="E51" s="165"/>
      <c r="F51" s="342">
        <f>$C$9</f>
        <v>0.20200000000000001</v>
      </c>
      <c r="G51" s="342">
        <f>$D$9</f>
        <v>0.20200000000000001</v>
      </c>
      <c r="H51" s="342">
        <f>$E$9</f>
        <v>0.20200000000000001</v>
      </c>
      <c r="I51" s="342">
        <f>$F$9</f>
        <v>0.20200000000000001</v>
      </c>
      <c r="J51" s="342">
        <f>$G$9</f>
        <v>0.20200000000000001</v>
      </c>
      <c r="K51" s="342">
        <f>$H$9</f>
        <v>0.20200000000000001</v>
      </c>
      <c r="L51" s="85"/>
      <c r="M51" s="85"/>
      <c r="N51" s="85"/>
    </row>
    <row r="52" spans="1:14">
      <c r="A52" s="169"/>
      <c r="B52" s="310">
        <f>ROUND(SUM(F52:K52),2)</f>
        <v>478665.52</v>
      </c>
      <c r="C52" s="170"/>
      <c r="D52" s="171" t="s">
        <v>534</v>
      </c>
      <c r="E52" s="172"/>
      <c r="F52" s="173">
        <f>F50*F51</f>
        <v>242362.50880000001</v>
      </c>
      <c r="G52" s="173">
        <f t="shared" ref="G52:K52" si="4">G50*G51</f>
        <v>75401.630800000014</v>
      </c>
      <c r="H52" s="173">
        <f t="shared" si="4"/>
        <v>53858.290400000005</v>
      </c>
      <c r="I52" s="173">
        <f t="shared" si="4"/>
        <v>21543.340400000005</v>
      </c>
      <c r="J52" s="173">
        <f t="shared" si="4"/>
        <v>26929.125</v>
      </c>
      <c r="K52" s="173">
        <f t="shared" si="4"/>
        <v>58570.62720000001</v>
      </c>
      <c r="L52" s="172"/>
      <c r="M52" s="172"/>
      <c r="N52" s="85"/>
    </row>
    <row r="53" spans="1:14">
      <c r="A53" s="85"/>
      <c r="B53" s="85"/>
      <c r="C53" s="85"/>
      <c r="D53" s="85"/>
      <c r="E53" s="85"/>
      <c r="F53" s="85"/>
      <c r="G53" s="85"/>
      <c r="H53" s="85"/>
      <c r="I53" s="85"/>
      <c r="J53" s="85"/>
      <c r="K53" s="85"/>
      <c r="L53" s="85"/>
      <c r="M53" s="85"/>
      <c r="N53" s="85"/>
    </row>
    <row r="54" spans="1:14" ht="15.75" thickBot="1">
      <c r="A54" s="85"/>
      <c r="B54" s="174" t="s">
        <v>67</v>
      </c>
      <c r="C54" s="174"/>
      <c r="D54" s="164" t="s">
        <v>391</v>
      </c>
      <c r="E54" s="165"/>
      <c r="F54" s="139" t="s">
        <v>392</v>
      </c>
      <c r="G54" s="139" t="s">
        <v>393</v>
      </c>
      <c r="H54" s="139" t="s">
        <v>394</v>
      </c>
      <c r="I54" s="139" t="s">
        <v>395</v>
      </c>
      <c r="J54" s="139" t="s">
        <v>396</v>
      </c>
      <c r="K54" s="139" t="s">
        <v>397</v>
      </c>
      <c r="L54" s="85"/>
      <c r="M54" s="85"/>
      <c r="N54" s="93"/>
    </row>
    <row r="55" spans="1:14" ht="16.5" thickTop="1" thickBot="1">
      <c r="A55" s="163"/>
      <c r="B55" s="85"/>
      <c r="C55" s="85"/>
      <c r="D55" s="164" t="s">
        <v>531</v>
      </c>
      <c r="E55" s="165"/>
      <c r="F55" s="166">
        <v>40</v>
      </c>
      <c r="G55" s="166">
        <v>9</v>
      </c>
      <c r="H55" s="166">
        <v>0</v>
      </c>
      <c r="I55" s="166">
        <v>0</v>
      </c>
      <c r="J55" s="166">
        <v>0</v>
      </c>
      <c r="K55" s="166">
        <v>0</v>
      </c>
      <c r="L55" s="85"/>
      <c r="M55" s="101">
        <f>B18-(SUM(F55:K55))</f>
        <v>0</v>
      </c>
      <c r="N55" s="85"/>
    </row>
    <row r="56" spans="1:14" ht="15.75" thickTop="1">
      <c r="A56" s="153" t="s">
        <v>95</v>
      </c>
      <c r="B56" s="166">
        <f>SUM(F56:K56)</f>
        <v>1367788.3299999998</v>
      </c>
      <c r="C56" s="166"/>
      <c r="D56" s="164" t="s">
        <v>532</v>
      </c>
      <c r="E56" s="165"/>
      <c r="F56" s="166">
        <f>F55*$C$6</f>
        <v>1199814.3999999999</v>
      </c>
      <c r="G56" s="166">
        <f>G55*$D$6</f>
        <v>167973.93</v>
      </c>
      <c r="H56" s="166">
        <f>H55*$E$6</f>
        <v>0</v>
      </c>
      <c r="I56" s="166">
        <f>I55*$F$6</f>
        <v>0</v>
      </c>
      <c r="J56" s="166">
        <f>J55*$G$6</f>
        <v>0</v>
      </c>
      <c r="K56" s="166">
        <f>K55*$H$6</f>
        <v>0</v>
      </c>
      <c r="L56" s="85"/>
      <c r="M56" s="85"/>
      <c r="N56" s="85"/>
    </row>
    <row r="57" spans="1:14">
      <c r="A57" s="163"/>
      <c r="B57" s="165"/>
      <c r="C57" s="165"/>
      <c r="D57" s="164" t="s">
        <v>533</v>
      </c>
      <c r="E57" s="165"/>
      <c r="F57" s="343">
        <f>$C$10</f>
        <v>0.34200000000000003</v>
      </c>
      <c r="G57" s="343">
        <f>$D$10</f>
        <v>0.34200000000000003</v>
      </c>
      <c r="H57" s="343">
        <f>$E$10</f>
        <v>0.34200000000000003</v>
      </c>
      <c r="I57" s="343">
        <f>$F$10</f>
        <v>0.34200000000000003</v>
      </c>
      <c r="J57" s="343">
        <f>$G$10</f>
        <v>0.34200000000000003</v>
      </c>
      <c r="K57" s="343">
        <f>$H$10</f>
        <v>0.34200000000000003</v>
      </c>
      <c r="L57" s="85"/>
      <c r="M57" s="85"/>
      <c r="N57" s="85"/>
    </row>
    <row r="58" spans="1:14">
      <c r="A58" s="169"/>
      <c r="B58" s="310">
        <f>ROUND(SUM(F58:K58),2)</f>
        <v>467783.61</v>
      </c>
      <c r="C58" s="170"/>
      <c r="D58" s="171" t="s">
        <v>534</v>
      </c>
      <c r="E58" s="172"/>
      <c r="F58" s="173">
        <f>F56*F57</f>
        <v>410336.52480000001</v>
      </c>
      <c r="G58" s="173">
        <f t="shared" ref="G58:K58" si="5">G56*G57</f>
        <v>57447.084060000001</v>
      </c>
      <c r="H58" s="173">
        <f t="shared" si="5"/>
        <v>0</v>
      </c>
      <c r="I58" s="173">
        <f t="shared" si="5"/>
        <v>0</v>
      </c>
      <c r="J58" s="173">
        <f t="shared" si="5"/>
        <v>0</v>
      </c>
      <c r="K58" s="173">
        <f t="shared" si="5"/>
        <v>0</v>
      </c>
      <c r="L58" s="172"/>
      <c r="M58" s="172"/>
      <c r="N58" s="85"/>
    </row>
    <row r="59" spans="1:14">
      <c r="A59" s="85"/>
      <c r="B59" s="85"/>
      <c r="C59" s="85"/>
      <c r="D59" s="85"/>
      <c r="E59" s="85"/>
      <c r="F59" s="85"/>
      <c r="G59" s="85"/>
      <c r="H59" s="85"/>
      <c r="I59" s="85"/>
      <c r="J59" s="85"/>
      <c r="K59" s="85"/>
      <c r="L59" s="85"/>
      <c r="M59" s="85"/>
      <c r="N59" s="85"/>
    </row>
    <row r="60" spans="1:14" ht="15.75" thickBot="1">
      <c r="A60" s="85"/>
      <c r="B60" s="174" t="s">
        <v>67</v>
      </c>
      <c r="C60" s="174"/>
      <c r="D60" s="164" t="s">
        <v>391</v>
      </c>
      <c r="E60" s="165"/>
      <c r="F60" s="139" t="s">
        <v>392</v>
      </c>
      <c r="G60" s="139" t="s">
        <v>393</v>
      </c>
      <c r="H60" s="139" t="s">
        <v>394</v>
      </c>
      <c r="I60" s="139" t="s">
        <v>395</v>
      </c>
      <c r="J60" s="139" t="s">
        <v>396</v>
      </c>
      <c r="K60" s="139" t="s">
        <v>397</v>
      </c>
      <c r="L60" s="85"/>
      <c r="M60" s="85"/>
      <c r="N60" s="85"/>
    </row>
    <row r="61" spans="1:14" ht="16.5" thickTop="1" thickBot="1">
      <c r="A61" s="163"/>
      <c r="B61" s="85"/>
      <c r="C61" s="85"/>
      <c r="D61" s="164" t="s">
        <v>531</v>
      </c>
      <c r="E61" s="165"/>
      <c r="F61" s="166">
        <v>40</v>
      </c>
      <c r="G61" s="166">
        <v>15</v>
      </c>
      <c r="H61" s="166">
        <v>0</v>
      </c>
      <c r="I61" s="166">
        <v>0</v>
      </c>
      <c r="J61" s="166">
        <v>0</v>
      </c>
      <c r="K61" s="166">
        <v>0</v>
      </c>
      <c r="L61" s="85"/>
      <c r="M61" s="101">
        <f>B19-(SUM(F61:K61))</f>
        <v>0</v>
      </c>
      <c r="N61" s="85"/>
    </row>
    <row r="62" spans="1:14" ht="15.75" thickTop="1">
      <c r="A62" s="149" t="s">
        <v>96</v>
      </c>
      <c r="B62" s="166">
        <f>SUM(F62:K62)</f>
        <v>1479770.95</v>
      </c>
      <c r="C62" s="166"/>
      <c r="D62" s="164" t="s">
        <v>532</v>
      </c>
      <c r="E62" s="165"/>
      <c r="F62" s="166">
        <f>F61*$C$6</f>
        <v>1199814.3999999999</v>
      </c>
      <c r="G62" s="166">
        <f>G61*$D$6</f>
        <v>279956.55</v>
      </c>
      <c r="H62" s="166">
        <f>H61*$E$6</f>
        <v>0</v>
      </c>
      <c r="I62" s="166">
        <f>I61*$F$6</f>
        <v>0</v>
      </c>
      <c r="J62" s="166">
        <f>J61*$G$6</f>
        <v>0</v>
      </c>
      <c r="K62" s="166">
        <f>K61*$H$6</f>
        <v>0</v>
      </c>
      <c r="L62" s="85"/>
      <c r="M62" s="85"/>
      <c r="N62" s="85"/>
    </row>
    <row r="63" spans="1:14">
      <c r="A63" s="163"/>
      <c r="B63" s="165"/>
      <c r="C63" s="165"/>
      <c r="D63" s="164" t="s">
        <v>533</v>
      </c>
      <c r="E63" s="165"/>
      <c r="F63" s="342">
        <f>$C$9</f>
        <v>0.20200000000000001</v>
      </c>
      <c r="G63" s="342">
        <f>$D$9</f>
        <v>0.20200000000000001</v>
      </c>
      <c r="H63" s="342">
        <f>$E$9</f>
        <v>0.20200000000000001</v>
      </c>
      <c r="I63" s="342">
        <f>$F$9</f>
        <v>0.20200000000000001</v>
      </c>
      <c r="J63" s="342">
        <f>$G$9</f>
        <v>0.20200000000000001</v>
      </c>
      <c r="K63" s="342">
        <f>$H$9</f>
        <v>0.20200000000000001</v>
      </c>
      <c r="L63" s="85"/>
      <c r="M63" s="85"/>
      <c r="N63" s="85"/>
    </row>
    <row r="64" spans="1:14">
      <c r="A64" s="169"/>
      <c r="B64" s="310">
        <f>ROUND(SUM(F64:K64),2)</f>
        <v>298913.73</v>
      </c>
      <c r="C64" s="170"/>
      <c r="D64" s="171" t="s">
        <v>534</v>
      </c>
      <c r="E64" s="172"/>
      <c r="F64" s="173">
        <f>F62*F63</f>
        <v>242362.50880000001</v>
      </c>
      <c r="G64" s="173">
        <f t="shared" ref="G64:K64" si="6">G62*G63</f>
        <v>56551.223100000003</v>
      </c>
      <c r="H64" s="173">
        <f t="shared" si="6"/>
        <v>0</v>
      </c>
      <c r="I64" s="173">
        <f t="shared" si="6"/>
        <v>0</v>
      </c>
      <c r="J64" s="173">
        <f t="shared" si="6"/>
        <v>0</v>
      </c>
      <c r="K64" s="173">
        <f t="shared" si="6"/>
        <v>0</v>
      </c>
      <c r="L64" s="172"/>
      <c r="M64" s="172"/>
      <c r="N64" s="85"/>
    </row>
    <row r="65" spans="1:14">
      <c r="A65" s="85"/>
      <c r="B65" s="85"/>
      <c r="C65" s="85"/>
      <c r="D65" s="85"/>
      <c r="E65" s="85"/>
      <c r="F65" s="85"/>
      <c r="G65" s="85"/>
      <c r="H65" s="85"/>
      <c r="I65" s="85"/>
      <c r="J65" s="85"/>
      <c r="K65" s="85"/>
      <c r="L65" s="85"/>
      <c r="M65" s="85"/>
      <c r="N65" s="85"/>
    </row>
    <row r="66" spans="1:14" ht="15.75" thickBot="1">
      <c r="A66" s="85"/>
      <c r="B66" s="174" t="s">
        <v>67</v>
      </c>
      <c r="C66" s="174"/>
      <c r="D66" s="164" t="s">
        <v>391</v>
      </c>
      <c r="E66" s="165"/>
      <c r="F66" s="139" t="s">
        <v>392</v>
      </c>
      <c r="G66" s="139" t="s">
        <v>393</v>
      </c>
      <c r="H66" s="139" t="s">
        <v>394</v>
      </c>
      <c r="I66" s="139" t="s">
        <v>395</v>
      </c>
      <c r="J66" s="139" t="s">
        <v>396</v>
      </c>
      <c r="K66" s="139" t="s">
        <v>397</v>
      </c>
      <c r="L66" s="85"/>
      <c r="M66" s="85"/>
      <c r="N66" s="85"/>
    </row>
    <row r="67" spans="1:14" ht="16.5" thickTop="1" thickBot="1">
      <c r="A67" s="163"/>
      <c r="B67" s="85"/>
      <c r="C67" s="85"/>
      <c r="D67" s="164" t="s">
        <v>531</v>
      </c>
      <c r="E67" s="165"/>
      <c r="F67" s="166">
        <v>40</v>
      </c>
      <c r="G67" s="166">
        <v>20</v>
      </c>
      <c r="H67" s="166">
        <v>20</v>
      </c>
      <c r="I67" s="166">
        <v>20</v>
      </c>
      <c r="J67" s="166">
        <v>50</v>
      </c>
      <c r="K67" s="166">
        <v>44</v>
      </c>
      <c r="L67" s="85"/>
      <c r="M67" s="101">
        <f>B20-(SUM(F67:K67))</f>
        <v>0</v>
      </c>
      <c r="N67" s="85"/>
    </row>
    <row r="68" spans="1:14" ht="15.75" thickTop="1">
      <c r="A68" s="149" t="s">
        <v>97</v>
      </c>
      <c r="B68" s="166">
        <f>SUM(F68:K68)</f>
        <v>2152999.2999999998</v>
      </c>
      <c r="C68" s="166"/>
      <c r="D68" s="164" t="s">
        <v>532</v>
      </c>
      <c r="E68" s="165"/>
      <c r="F68" s="166">
        <f>F67*$C$6</f>
        <v>1199814.3999999999</v>
      </c>
      <c r="G68" s="166">
        <f>G67*$D$6</f>
        <v>373275.4</v>
      </c>
      <c r="H68" s="166">
        <f>H67*$E$6</f>
        <v>266625.2</v>
      </c>
      <c r="I68" s="166">
        <f>I67*$F$6</f>
        <v>106650.20000000001</v>
      </c>
      <c r="J68" s="166">
        <f>J67*$G$6</f>
        <v>133312.5</v>
      </c>
      <c r="K68" s="166">
        <f>K67*$H$6</f>
        <v>73321.600000000006</v>
      </c>
      <c r="L68" s="85"/>
      <c r="M68" s="85"/>
      <c r="N68" s="85"/>
    </row>
    <row r="69" spans="1:14">
      <c r="A69" s="163"/>
      <c r="B69" s="165"/>
      <c r="C69" s="165"/>
      <c r="D69" s="164" t="s">
        <v>533</v>
      </c>
      <c r="E69" s="165"/>
      <c r="F69" s="342">
        <f>$C$9</f>
        <v>0.20200000000000001</v>
      </c>
      <c r="G69" s="342">
        <f>$D$9</f>
        <v>0.20200000000000001</v>
      </c>
      <c r="H69" s="342">
        <f>$E$9</f>
        <v>0.20200000000000001</v>
      </c>
      <c r="I69" s="342">
        <f>$F$9</f>
        <v>0.20200000000000001</v>
      </c>
      <c r="J69" s="342">
        <f>$G$9</f>
        <v>0.20200000000000001</v>
      </c>
      <c r="K69" s="342">
        <f>$H$9</f>
        <v>0.20200000000000001</v>
      </c>
      <c r="L69" s="85"/>
      <c r="M69" s="85"/>
      <c r="N69" s="85"/>
    </row>
    <row r="70" spans="1:14">
      <c r="A70" s="169"/>
      <c r="B70" s="310">
        <f>ROUND(SUM(F70:K70),2)</f>
        <v>434905.86</v>
      </c>
      <c r="C70" s="170"/>
      <c r="D70" s="171" t="s">
        <v>534</v>
      </c>
      <c r="E70" s="172"/>
      <c r="F70" s="173">
        <f>F68*F69</f>
        <v>242362.50880000001</v>
      </c>
      <c r="G70" s="173">
        <f t="shared" ref="G70:K70" si="7">G68*G69</f>
        <v>75401.630800000014</v>
      </c>
      <c r="H70" s="173">
        <f t="shared" si="7"/>
        <v>53858.290400000005</v>
      </c>
      <c r="I70" s="173">
        <f t="shared" si="7"/>
        <v>21543.340400000005</v>
      </c>
      <c r="J70" s="173">
        <f t="shared" si="7"/>
        <v>26929.125</v>
      </c>
      <c r="K70" s="173">
        <f t="shared" si="7"/>
        <v>14810.963200000002</v>
      </c>
      <c r="L70" s="172"/>
      <c r="M70" s="172"/>
      <c r="N70" s="85"/>
    </row>
    <row r="71" spans="1:14">
      <c r="A71" s="85"/>
      <c r="B71" s="85"/>
      <c r="C71" s="85"/>
      <c r="D71" s="85"/>
      <c r="E71" s="85"/>
      <c r="F71" s="85"/>
      <c r="G71" s="85"/>
      <c r="H71" s="85"/>
      <c r="I71" s="85"/>
      <c r="J71" s="85"/>
      <c r="K71" s="85"/>
      <c r="L71" s="85"/>
      <c r="M71" s="85"/>
      <c r="N71" s="85"/>
    </row>
    <row r="72" spans="1:14" ht="15.75" thickBot="1">
      <c r="A72" s="158"/>
      <c r="B72" s="159" t="s">
        <v>67</v>
      </c>
      <c r="C72" s="159"/>
      <c r="D72" s="110" t="s">
        <v>391</v>
      </c>
      <c r="E72" s="160"/>
      <c r="F72" s="161" t="s">
        <v>392</v>
      </c>
      <c r="G72" s="161" t="s">
        <v>393</v>
      </c>
      <c r="H72" s="161" t="s">
        <v>394</v>
      </c>
      <c r="I72" s="161" t="s">
        <v>395</v>
      </c>
      <c r="J72" s="161" t="s">
        <v>396</v>
      </c>
      <c r="K72" s="161" t="s">
        <v>397</v>
      </c>
      <c r="L72" s="158"/>
      <c r="M72" s="158"/>
      <c r="N72" s="85"/>
    </row>
    <row r="73" spans="1:14" ht="16.5" thickTop="1" thickBot="1">
      <c r="A73" s="163"/>
      <c r="B73" s="85"/>
      <c r="C73" s="85"/>
      <c r="D73" s="164" t="s">
        <v>531</v>
      </c>
      <c r="E73" s="165"/>
      <c r="F73" s="166">
        <v>40</v>
      </c>
      <c r="G73" s="166">
        <v>20</v>
      </c>
      <c r="H73" s="166">
        <v>20</v>
      </c>
      <c r="I73" s="166">
        <v>20</v>
      </c>
      <c r="J73" s="166">
        <v>50</v>
      </c>
      <c r="K73" s="166">
        <v>628</v>
      </c>
      <c r="L73" s="85"/>
      <c r="M73" s="101">
        <f>B21-(SUM(F73:K73))</f>
        <v>0</v>
      </c>
      <c r="N73" s="85"/>
    </row>
    <row r="74" spans="1:14" ht="15.75" thickTop="1">
      <c r="A74" s="149" t="s">
        <v>98</v>
      </c>
      <c r="B74" s="166">
        <f>SUM(F74:K74)</f>
        <v>3126176.9</v>
      </c>
      <c r="C74" s="166"/>
      <c r="D74" s="164" t="s">
        <v>532</v>
      </c>
      <c r="E74" s="165"/>
      <c r="F74" s="166">
        <f>F73*$C$6</f>
        <v>1199814.3999999999</v>
      </c>
      <c r="G74" s="166">
        <f>G73*$D$6</f>
        <v>373275.4</v>
      </c>
      <c r="H74" s="166">
        <f>H73*$E$6</f>
        <v>266625.2</v>
      </c>
      <c r="I74" s="166">
        <f>I73*$F$6</f>
        <v>106650.20000000001</v>
      </c>
      <c r="J74" s="166">
        <f>J73*$G$6</f>
        <v>133312.5</v>
      </c>
      <c r="K74" s="166">
        <f>K73*$H$6</f>
        <v>1046499.2000000001</v>
      </c>
      <c r="L74" s="85"/>
      <c r="M74" s="85"/>
      <c r="N74" s="85"/>
    </row>
    <row r="75" spans="1:14">
      <c r="A75" s="163"/>
      <c r="B75" s="165"/>
      <c r="C75" s="165"/>
      <c r="D75" s="164" t="s">
        <v>533</v>
      </c>
      <c r="E75" s="165"/>
      <c r="F75" s="342">
        <f>$C$9</f>
        <v>0.20200000000000001</v>
      </c>
      <c r="G75" s="342">
        <f>$D$9</f>
        <v>0.20200000000000001</v>
      </c>
      <c r="H75" s="342">
        <f>$E$9</f>
        <v>0.20200000000000001</v>
      </c>
      <c r="I75" s="342">
        <f>$F$9</f>
        <v>0.20200000000000001</v>
      </c>
      <c r="J75" s="342">
        <f>$G$9</f>
        <v>0.20200000000000001</v>
      </c>
      <c r="K75" s="342">
        <f>$H$9</f>
        <v>0.20200000000000001</v>
      </c>
      <c r="L75" s="85"/>
      <c r="M75" s="85"/>
      <c r="N75" s="85"/>
    </row>
    <row r="76" spans="1:14">
      <c r="A76" s="169"/>
      <c r="B76" s="310">
        <f>ROUND(SUM(F76:K76),2)</f>
        <v>631487.73</v>
      </c>
      <c r="C76" s="170"/>
      <c r="D76" s="171" t="s">
        <v>534</v>
      </c>
      <c r="E76" s="172"/>
      <c r="F76" s="173">
        <f>F74*F75</f>
        <v>242362.50880000001</v>
      </c>
      <c r="G76" s="173">
        <f t="shared" ref="G76:K76" si="8">G74*G75</f>
        <v>75401.630800000014</v>
      </c>
      <c r="H76" s="173">
        <f t="shared" si="8"/>
        <v>53858.290400000005</v>
      </c>
      <c r="I76" s="173">
        <f t="shared" si="8"/>
        <v>21543.340400000005</v>
      </c>
      <c r="J76" s="173">
        <f t="shared" si="8"/>
        <v>26929.125</v>
      </c>
      <c r="K76" s="173">
        <f t="shared" si="8"/>
        <v>211392.83840000004</v>
      </c>
      <c r="L76" s="172"/>
      <c r="M76" s="172"/>
      <c r="N76" s="85"/>
    </row>
    <row r="77" spans="1:14">
      <c r="A77" s="85"/>
      <c r="B77" s="85"/>
      <c r="C77" s="85"/>
      <c r="D77" s="85"/>
      <c r="E77" s="85"/>
      <c r="F77" s="85"/>
      <c r="G77" s="85"/>
      <c r="H77" s="85"/>
      <c r="I77" s="85"/>
      <c r="J77" s="85"/>
      <c r="K77" s="85"/>
      <c r="L77" s="85"/>
      <c r="M77" s="85"/>
      <c r="N77" s="85"/>
    </row>
    <row r="78" spans="1:14" ht="15.75" thickBot="1">
      <c r="A78" s="158"/>
      <c r="B78" s="159" t="s">
        <v>67</v>
      </c>
      <c r="C78" s="159"/>
      <c r="D78" s="110" t="s">
        <v>391</v>
      </c>
      <c r="E78" s="160"/>
      <c r="F78" s="161" t="s">
        <v>392</v>
      </c>
      <c r="G78" s="161" t="s">
        <v>393</v>
      </c>
      <c r="H78" s="161" t="s">
        <v>394</v>
      </c>
      <c r="I78" s="161" t="s">
        <v>395</v>
      </c>
      <c r="J78" s="161" t="s">
        <v>396</v>
      </c>
      <c r="K78" s="161" t="s">
        <v>397</v>
      </c>
      <c r="L78" s="158"/>
      <c r="M78" s="158"/>
      <c r="N78" s="85"/>
    </row>
    <row r="79" spans="1:14" ht="16.5" thickTop="1" thickBot="1">
      <c r="A79" s="163"/>
      <c r="B79" s="85"/>
      <c r="C79" s="85"/>
      <c r="D79" s="164" t="s">
        <v>531</v>
      </c>
      <c r="E79" s="165"/>
      <c r="F79" s="166">
        <v>19</v>
      </c>
      <c r="G79" s="166">
        <v>0</v>
      </c>
      <c r="H79" s="166">
        <v>0</v>
      </c>
      <c r="I79" s="166">
        <v>0</v>
      </c>
      <c r="J79" s="166">
        <v>0</v>
      </c>
      <c r="K79" s="166">
        <v>0</v>
      </c>
      <c r="L79" s="85"/>
      <c r="M79" s="101">
        <f>B22-(SUM(F79:K79))</f>
        <v>0</v>
      </c>
      <c r="N79" s="85"/>
    </row>
    <row r="80" spans="1:14" ht="15.75" thickTop="1">
      <c r="A80" s="150" t="s">
        <v>99</v>
      </c>
      <c r="B80" s="166">
        <f>SUM(F80:K80)</f>
        <v>569911.84</v>
      </c>
      <c r="C80" s="166"/>
      <c r="D80" s="164" t="s">
        <v>532</v>
      </c>
      <c r="E80" s="165"/>
      <c r="F80" s="166">
        <f>F79*$C$6</f>
        <v>569911.84</v>
      </c>
      <c r="G80" s="166">
        <f>G79*$D$6</f>
        <v>0</v>
      </c>
      <c r="H80" s="166">
        <f>H79*$E$6</f>
        <v>0</v>
      </c>
      <c r="I80" s="166">
        <f>I79*$F$6</f>
        <v>0</v>
      </c>
      <c r="J80" s="166">
        <f>J79*$G$6</f>
        <v>0</v>
      </c>
      <c r="K80" s="166">
        <f>K79*$H$6</f>
        <v>0</v>
      </c>
      <c r="L80" s="85"/>
      <c r="M80" s="85"/>
      <c r="N80" s="85"/>
    </row>
    <row r="81" spans="1:14">
      <c r="A81" s="163"/>
      <c r="B81" s="165"/>
      <c r="C81" s="165"/>
      <c r="D81" s="164" t="s">
        <v>533</v>
      </c>
      <c r="E81" s="165"/>
      <c r="F81" s="344">
        <f>$C$11</f>
        <v>0.39200000000000002</v>
      </c>
      <c r="G81" s="344">
        <f>$D$11</f>
        <v>0.39200000000000002</v>
      </c>
      <c r="H81" s="344">
        <f>$E$11</f>
        <v>0.39200000000000002</v>
      </c>
      <c r="I81" s="344">
        <f>$F$11</f>
        <v>0.39200000000000002</v>
      </c>
      <c r="J81" s="344">
        <f>$G$11</f>
        <v>0.39200000000000002</v>
      </c>
      <c r="K81" s="344">
        <f>$H$11</f>
        <v>0.39200000000000002</v>
      </c>
      <c r="L81" s="85"/>
      <c r="M81" s="85"/>
      <c r="N81" s="85"/>
    </row>
    <row r="82" spans="1:14">
      <c r="A82" s="169"/>
      <c r="B82" s="310">
        <f>ROUND(SUM(F82:K82),2)</f>
        <v>223405.44</v>
      </c>
      <c r="C82" s="170"/>
      <c r="D82" s="171" t="s">
        <v>534</v>
      </c>
      <c r="E82" s="172"/>
      <c r="F82" s="173">
        <f>F80*F81</f>
        <v>223405.44128</v>
      </c>
      <c r="G82" s="173">
        <f t="shared" ref="G82:K82" si="9">G80*G81</f>
        <v>0</v>
      </c>
      <c r="H82" s="173">
        <f t="shared" si="9"/>
        <v>0</v>
      </c>
      <c r="I82" s="173">
        <f t="shared" si="9"/>
        <v>0</v>
      </c>
      <c r="J82" s="173">
        <f t="shared" si="9"/>
        <v>0</v>
      </c>
      <c r="K82" s="173">
        <f t="shared" si="9"/>
        <v>0</v>
      </c>
      <c r="L82" s="172"/>
      <c r="M82" s="172"/>
      <c r="N82" s="85"/>
    </row>
    <row r="83" spans="1:14">
      <c r="A83" s="85"/>
      <c r="B83" s="85"/>
      <c r="C83" s="85"/>
      <c r="D83" s="85"/>
      <c r="E83" s="85"/>
      <c r="F83" s="85"/>
      <c r="G83" s="85"/>
      <c r="H83" s="85"/>
      <c r="I83" s="85"/>
      <c r="J83" s="85"/>
      <c r="K83" s="85"/>
      <c r="L83" s="85"/>
      <c r="M83" s="85"/>
      <c r="N83" s="85"/>
    </row>
    <row r="84" spans="1:14" ht="15.75" thickBot="1">
      <c r="A84" s="158"/>
      <c r="B84" s="159" t="s">
        <v>67</v>
      </c>
      <c r="C84" s="159"/>
      <c r="D84" s="110" t="s">
        <v>391</v>
      </c>
      <c r="E84" s="160"/>
      <c r="F84" s="161" t="s">
        <v>392</v>
      </c>
      <c r="G84" s="161" t="s">
        <v>393</v>
      </c>
      <c r="H84" s="161" t="s">
        <v>394</v>
      </c>
      <c r="I84" s="161" t="s">
        <v>395</v>
      </c>
      <c r="J84" s="161" t="s">
        <v>396</v>
      </c>
      <c r="K84" s="161" t="s">
        <v>397</v>
      </c>
      <c r="L84" s="158"/>
      <c r="M84" s="158"/>
      <c r="N84" s="85"/>
    </row>
    <row r="85" spans="1:14" ht="16.5" thickTop="1" thickBot="1">
      <c r="A85" s="163"/>
      <c r="B85" s="85"/>
      <c r="C85" s="85"/>
      <c r="D85" s="164" t="s">
        <v>531</v>
      </c>
      <c r="E85" s="165"/>
      <c r="F85" s="166">
        <v>4</v>
      </c>
      <c r="G85" s="166">
        <v>0</v>
      </c>
      <c r="H85" s="166">
        <v>0</v>
      </c>
      <c r="I85" s="166">
        <v>0</v>
      </c>
      <c r="J85" s="166">
        <v>0</v>
      </c>
      <c r="K85" s="166">
        <v>0</v>
      </c>
      <c r="L85" s="85"/>
      <c r="M85" s="101">
        <f>B23-(SUM(F85:K85))</f>
        <v>0</v>
      </c>
      <c r="N85" s="85"/>
    </row>
    <row r="86" spans="1:14" ht="15.75" thickTop="1">
      <c r="A86" s="150" t="s">
        <v>100</v>
      </c>
      <c r="B86" s="166">
        <f>SUM(F86:K86)</f>
        <v>119981.44</v>
      </c>
      <c r="C86" s="166"/>
      <c r="D86" s="164" t="s">
        <v>532</v>
      </c>
      <c r="E86" s="165"/>
      <c r="F86" s="166">
        <f>F85*$C$6</f>
        <v>119981.44</v>
      </c>
      <c r="G86" s="166">
        <f>G85*$D$6</f>
        <v>0</v>
      </c>
      <c r="H86" s="166">
        <f>H85*$E$6</f>
        <v>0</v>
      </c>
      <c r="I86" s="166">
        <f>I85*$F$6</f>
        <v>0</v>
      </c>
      <c r="J86" s="166">
        <f>J85*$G$6</f>
        <v>0</v>
      </c>
      <c r="K86" s="166">
        <f>K85*$H$6</f>
        <v>0</v>
      </c>
      <c r="L86" s="85"/>
      <c r="M86" s="85"/>
      <c r="N86" s="85"/>
    </row>
    <row r="87" spans="1:14">
      <c r="A87" s="163"/>
      <c r="B87" s="165"/>
      <c r="C87" s="165"/>
      <c r="D87" s="164" t="s">
        <v>533</v>
      </c>
      <c r="E87" s="165"/>
      <c r="F87" s="344">
        <f>$C$11</f>
        <v>0.39200000000000002</v>
      </c>
      <c r="G87" s="344">
        <f>$D$11</f>
        <v>0.39200000000000002</v>
      </c>
      <c r="H87" s="344">
        <f>$E$11</f>
        <v>0.39200000000000002</v>
      </c>
      <c r="I87" s="344">
        <f>$F$11</f>
        <v>0.39200000000000002</v>
      </c>
      <c r="J87" s="344">
        <f>$G$11</f>
        <v>0.39200000000000002</v>
      </c>
      <c r="K87" s="344">
        <f>$H$11</f>
        <v>0.39200000000000002</v>
      </c>
      <c r="L87" s="85"/>
      <c r="M87" s="85"/>
      <c r="N87" s="85"/>
    </row>
    <row r="88" spans="1:14">
      <c r="A88" s="169"/>
      <c r="B88" s="310">
        <f>ROUND(SUM(F88:K88),2)</f>
        <v>47032.72</v>
      </c>
      <c r="C88" s="170"/>
      <c r="D88" s="171" t="s">
        <v>534</v>
      </c>
      <c r="E88" s="172"/>
      <c r="F88" s="173">
        <f>F86*F87</f>
        <v>47032.724480000004</v>
      </c>
      <c r="G88" s="173">
        <f t="shared" ref="G88:K88" si="10">G86*G87</f>
        <v>0</v>
      </c>
      <c r="H88" s="173">
        <f t="shared" si="10"/>
        <v>0</v>
      </c>
      <c r="I88" s="173">
        <f t="shared" si="10"/>
        <v>0</v>
      </c>
      <c r="J88" s="173">
        <f t="shared" si="10"/>
        <v>0</v>
      </c>
      <c r="K88" s="173">
        <f t="shared" si="10"/>
        <v>0</v>
      </c>
      <c r="L88" s="172"/>
      <c r="M88" s="172"/>
      <c r="N88" s="85"/>
    </row>
    <row r="89" spans="1:14">
      <c r="A89" s="85"/>
      <c r="B89" s="85"/>
      <c r="C89" s="85"/>
      <c r="D89" s="85"/>
      <c r="E89" s="85"/>
      <c r="F89" s="85"/>
      <c r="G89" s="85"/>
      <c r="H89" s="85"/>
      <c r="I89" s="85"/>
      <c r="J89" s="85"/>
      <c r="K89" s="85"/>
      <c r="L89" s="85"/>
      <c r="M89" s="85"/>
      <c r="N89" s="85"/>
    </row>
    <row r="90" spans="1:14" ht="15.75" thickBot="1">
      <c r="A90" s="158"/>
      <c r="B90" s="159" t="s">
        <v>67</v>
      </c>
      <c r="C90" s="159"/>
      <c r="D90" s="110" t="s">
        <v>391</v>
      </c>
      <c r="E90" s="160"/>
      <c r="F90" s="161" t="s">
        <v>392</v>
      </c>
      <c r="G90" s="161" t="s">
        <v>393</v>
      </c>
      <c r="H90" s="161" t="s">
        <v>394</v>
      </c>
      <c r="I90" s="161" t="s">
        <v>395</v>
      </c>
      <c r="J90" s="161" t="s">
        <v>396</v>
      </c>
      <c r="K90" s="161" t="s">
        <v>397</v>
      </c>
      <c r="L90" s="158"/>
      <c r="M90" s="158"/>
      <c r="N90" s="85"/>
    </row>
    <row r="91" spans="1:14" ht="16.5" thickTop="1" thickBot="1">
      <c r="A91" s="163"/>
      <c r="B91" s="85"/>
      <c r="C91" s="85"/>
      <c r="D91" s="164" t="s">
        <v>531</v>
      </c>
      <c r="E91" s="165"/>
      <c r="F91" s="166">
        <v>40</v>
      </c>
      <c r="G91" s="166">
        <v>20</v>
      </c>
      <c r="H91" s="166">
        <v>20</v>
      </c>
      <c r="I91" s="166">
        <v>20</v>
      </c>
      <c r="J91" s="166">
        <v>50</v>
      </c>
      <c r="K91" s="166">
        <v>163</v>
      </c>
      <c r="L91" s="85"/>
      <c r="M91" s="101">
        <f>B24-(SUM(F91:K91))</f>
        <v>0</v>
      </c>
      <c r="N91" s="85"/>
    </row>
    <row r="92" spans="1:14" ht="15.75" thickTop="1">
      <c r="A92" s="149" t="s">
        <v>101</v>
      </c>
      <c r="B92" s="166">
        <f>SUM(F92:K92)</f>
        <v>2351300.9</v>
      </c>
      <c r="C92" s="166"/>
      <c r="D92" s="164" t="s">
        <v>532</v>
      </c>
      <c r="E92" s="165"/>
      <c r="F92" s="166">
        <f>F91*$C$6</f>
        <v>1199814.3999999999</v>
      </c>
      <c r="G92" s="166">
        <f>G91*$D$6</f>
        <v>373275.4</v>
      </c>
      <c r="H92" s="166">
        <f>H91*$E$6</f>
        <v>266625.2</v>
      </c>
      <c r="I92" s="166">
        <f>I91*$F$6</f>
        <v>106650.20000000001</v>
      </c>
      <c r="J92" s="166">
        <f>J91*$G$6</f>
        <v>133312.5</v>
      </c>
      <c r="K92" s="166">
        <f>K91*$H$6</f>
        <v>271623.2</v>
      </c>
      <c r="L92" s="85"/>
      <c r="M92" s="85"/>
      <c r="N92" s="85"/>
    </row>
    <row r="93" spans="1:14">
      <c r="A93" s="163"/>
      <c r="B93" s="165"/>
      <c r="C93" s="165"/>
      <c r="D93" s="164" t="s">
        <v>533</v>
      </c>
      <c r="E93" s="165"/>
      <c r="F93" s="342">
        <f>$C$9</f>
        <v>0.20200000000000001</v>
      </c>
      <c r="G93" s="342">
        <f>$D$9</f>
        <v>0.20200000000000001</v>
      </c>
      <c r="H93" s="342">
        <f>$E$9</f>
        <v>0.20200000000000001</v>
      </c>
      <c r="I93" s="342">
        <f>$F$9</f>
        <v>0.20200000000000001</v>
      </c>
      <c r="J93" s="342">
        <f>$G$9</f>
        <v>0.20200000000000001</v>
      </c>
      <c r="K93" s="342">
        <f>$H$9</f>
        <v>0.20200000000000001</v>
      </c>
      <c r="L93" s="85"/>
      <c r="M93" s="85"/>
      <c r="N93" s="85"/>
    </row>
    <row r="94" spans="1:14">
      <c r="A94" s="169"/>
      <c r="B94" s="310">
        <f>ROUND(SUM(F94:K94),2)</f>
        <v>474962.78</v>
      </c>
      <c r="C94" s="170"/>
      <c r="D94" s="171" t="s">
        <v>534</v>
      </c>
      <c r="E94" s="172"/>
      <c r="F94" s="173">
        <f>F92*F93</f>
        <v>242362.50880000001</v>
      </c>
      <c r="G94" s="173">
        <f t="shared" ref="G94:K94" si="11">G92*G93</f>
        <v>75401.630800000014</v>
      </c>
      <c r="H94" s="173">
        <f t="shared" si="11"/>
        <v>53858.290400000005</v>
      </c>
      <c r="I94" s="173">
        <f t="shared" si="11"/>
        <v>21543.340400000005</v>
      </c>
      <c r="J94" s="173">
        <f t="shared" si="11"/>
        <v>26929.125</v>
      </c>
      <c r="K94" s="173">
        <f t="shared" si="11"/>
        <v>54867.886400000003</v>
      </c>
      <c r="L94" s="172"/>
      <c r="M94" s="172"/>
      <c r="N94" s="85"/>
    </row>
    <row r="95" spans="1:14">
      <c r="A95" s="85"/>
      <c r="B95" s="85"/>
      <c r="C95" s="85"/>
      <c r="D95" s="85"/>
      <c r="E95" s="85"/>
      <c r="F95" s="85"/>
      <c r="G95" s="85"/>
      <c r="H95" s="85"/>
      <c r="I95" s="85"/>
      <c r="J95" s="85"/>
      <c r="K95" s="85"/>
      <c r="L95" s="85"/>
      <c r="M95" s="85"/>
      <c r="N95" s="85"/>
    </row>
    <row r="96" spans="1:14" ht="15.75" thickBot="1">
      <c r="A96" s="158"/>
      <c r="B96" s="159" t="s">
        <v>67</v>
      </c>
      <c r="C96" s="159"/>
      <c r="D96" s="110" t="s">
        <v>391</v>
      </c>
      <c r="E96" s="160"/>
      <c r="F96" s="161" t="s">
        <v>392</v>
      </c>
      <c r="G96" s="161" t="s">
        <v>393</v>
      </c>
      <c r="H96" s="161" t="s">
        <v>394</v>
      </c>
      <c r="I96" s="161" t="s">
        <v>395</v>
      </c>
      <c r="J96" s="161" t="s">
        <v>396</v>
      </c>
      <c r="K96" s="161" t="s">
        <v>397</v>
      </c>
      <c r="L96" s="158"/>
      <c r="M96" s="158"/>
      <c r="N96" s="85"/>
    </row>
    <row r="97" spans="1:14" ht="16.5" thickTop="1" thickBot="1">
      <c r="A97" s="163"/>
      <c r="B97" s="85"/>
      <c r="C97" s="85"/>
      <c r="D97" s="164" t="s">
        <v>531</v>
      </c>
      <c r="E97" s="165"/>
      <c r="F97" s="166">
        <v>40</v>
      </c>
      <c r="G97" s="166">
        <v>3</v>
      </c>
      <c r="H97" s="166">
        <v>0</v>
      </c>
      <c r="I97" s="166">
        <v>0</v>
      </c>
      <c r="J97" s="166">
        <v>0</v>
      </c>
      <c r="K97" s="166">
        <v>0</v>
      </c>
      <c r="L97" s="85"/>
      <c r="M97" s="101">
        <f>B25-(SUM(F97:K97))</f>
        <v>0</v>
      </c>
      <c r="N97" s="85"/>
    </row>
    <row r="98" spans="1:14" ht="15.75" thickTop="1">
      <c r="A98" s="149" t="s">
        <v>102</v>
      </c>
      <c r="B98" s="166">
        <f>SUM(F98:K98)</f>
        <v>1255805.71</v>
      </c>
      <c r="C98" s="166"/>
      <c r="D98" s="164" t="s">
        <v>532</v>
      </c>
      <c r="E98" s="165"/>
      <c r="F98" s="166">
        <f>F97*$C$6</f>
        <v>1199814.3999999999</v>
      </c>
      <c r="G98" s="166">
        <f>G97*$D$6</f>
        <v>55991.31</v>
      </c>
      <c r="H98" s="166">
        <f>H97*$E$6</f>
        <v>0</v>
      </c>
      <c r="I98" s="166">
        <f>I97*$F$6</f>
        <v>0</v>
      </c>
      <c r="J98" s="166">
        <f>J97*$G$6</f>
        <v>0</v>
      </c>
      <c r="K98" s="166">
        <f>K97*$H$6</f>
        <v>0</v>
      </c>
      <c r="L98" s="85"/>
      <c r="M98" s="85"/>
      <c r="N98" s="85"/>
    </row>
    <row r="99" spans="1:14">
      <c r="A99" s="163"/>
      <c r="B99" s="165"/>
      <c r="C99" s="165"/>
      <c r="D99" s="164" t="s">
        <v>533</v>
      </c>
      <c r="E99" s="165"/>
      <c r="F99" s="342">
        <f>$C$9</f>
        <v>0.20200000000000001</v>
      </c>
      <c r="G99" s="342">
        <f>$D$9</f>
        <v>0.20200000000000001</v>
      </c>
      <c r="H99" s="342">
        <f>$E$9</f>
        <v>0.20200000000000001</v>
      </c>
      <c r="I99" s="342">
        <f>$F$9</f>
        <v>0.20200000000000001</v>
      </c>
      <c r="J99" s="342">
        <f>$G$9</f>
        <v>0.20200000000000001</v>
      </c>
      <c r="K99" s="342">
        <f>$H$9</f>
        <v>0.20200000000000001</v>
      </c>
      <c r="L99" s="85"/>
      <c r="M99" s="85"/>
      <c r="N99" s="85"/>
    </row>
    <row r="100" spans="1:14">
      <c r="A100" s="169"/>
      <c r="B100" s="310">
        <f>ROUND(SUM(F100:K100),2)</f>
        <v>253672.75</v>
      </c>
      <c r="C100" s="170"/>
      <c r="D100" s="171" t="s">
        <v>534</v>
      </c>
      <c r="E100" s="172"/>
      <c r="F100" s="173">
        <f>F98*F99</f>
        <v>242362.50880000001</v>
      </c>
      <c r="G100" s="173">
        <f t="shared" ref="G100:K100" si="12">G98*G99</f>
        <v>11310.244619999999</v>
      </c>
      <c r="H100" s="173">
        <f t="shared" si="12"/>
        <v>0</v>
      </c>
      <c r="I100" s="173">
        <f t="shared" si="12"/>
        <v>0</v>
      </c>
      <c r="J100" s="173">
        <f t="shared" si="12"/>
        <v>0</v>
      </c>
      <c r="K100" s="173">
        <f t="shared" si="12"/>
        <v>0</v>
      </c>
      <c r="L100" s="172"/>
      <c r="M100" s="172"/>
      <c r="N100" s="85"/>
    </row>
    <row r="101" spans="1:14">
      <c r="A101" s="85"/>
      <c r="B101" s="85"/>
      <c r="C101" s="85"/>
      <c r="D101" s="85"/>
      <c r="E101" s="85"/>
      <c r="F101" s="85"/>
      <c r="G101" s="85"/>
      <c r="H101" s="85"/>
      <c r="I101" s="85"/>
      <c r="J101" s="85"/>
      <c r="K101" s="85"/>
      <c r="L101" s="85"/>
      <c r="M101" s="85"/>
      <c r="N101" s="85"/>
    </row>
    <row r="102" spans="1:14" ht="15.75" thickBot="1">
      <c r="A102" s="158"/>
      <c r="B102" s="159" t="s">
        <v>67</v>
      </c>
      <c r="C102" s="159"/>
      <c r="D102" s="110" t="s">
        <v>391</v>
      </c>
      <c r="E102" s="160"/>
      <c r="F102" s="161" t="s">
        <v>392</v>
      </c>
      <c r="G102" s="161" t="s">
        <v>393</v>
      </c>
      <c r="H102" s="161" t="s">
        <v>394</v>
      </c>
      <c r="I102" s="161" t="s">
        <v>395</v>
      </c>
      <c r="J102" s="161" t="s">
        <v>396</v>
      </c>
      <c r="K102" s="161" t="s">
        <v>397</v>
      </c>
      <c r="L102" s="158"/>
      <c r="M102" s="158"/>
      <c r="N102" s="85"/>
    </row>
    <row r="103" spans="1:14" ht="16.5" thickTop="1" thickBot="1">
      <c r="A103" s="163"/>
      <c r="B103" s="85"/>
      <c r="C103" s="85"/>
      <c r="D103" s="164" t="s">
        <v>531</v>
      </c>
      <c r="E103" s="165"/>
      <c r="F103" s="166">
        <v>40</v>
      </c>
      <c r="G103" s="166">
        <v>20</v>
      </c>
      <c r="H103" s="166">
        <v>20</v>
      </c>
      <c r="I103" s="166">
        <v>20</v>
      </c>
      <c r="J103" s="166">
        <v>50</v>
      </c>
      <c r="K103" s="166">
        <v>79</v>
      </c>
      <c r="L103" s="85"/>
      <c r="M103" s="101">
        <f>B26-(SUM(F103:K103))</f>
        <v>0</v>
      </c>
      <c r="N103" s="85"/>
    </row>
    <row r="104" spans="1:14" ht="15.75" thickTop="1">
      <c r="A104" s="149" t="s">
        <v>103</v>
      </c>
      <c r="B104" s="166">
        <f>SUM(F104:K104)</f>
        <v>2211323.2999999998</v>
      </c>
      <c r="C104" s="166"/>
      <c r="D104" s="164" t="s">
        <v>532</v>
      </c>
      <c r="E104" s="165"/>
      <c r="F104" s="166">
        <f>F103*$C$6</f>
        <v>1199814.3999999999</v>
      </c>
      <c r="G104" s="166">
        <f>G103*$D$6</f>
        <v>373275.4</v>
      </c>
      <c r="H104" s="166">
        <f>H103*$E$6</f>
        <v>266625.2</v>
      </c>
      <c r="I104" s="166">
        <f>I103*$F$6</f>
        <v>106650.20000000001</v>
      </c>
      <c r="J104" s="166">
        <f>J103*$G$6</f>
        <v>133312.5</v>
      </c>
      <c r="K104" s="166">
        <f>K103*$H$6</f>
        <v>131645.6</v>
      </c>
      <c r="L104" s="85"/>
      <c r="M104" s="85"/>
      <c r="N104" s="85"/>
    </row>
    <row r="105" spans="1:14">
      <c r="A105" s="163"/>
      <c r="B105" s="165"/>
      <c r="C105" s="165"/>
      <c r="D105" s="164" t="s">
        <v>533</v>
      </c>
      <c r="E105" s="165"/>
      <c r="F105" s="342">
        <f>$C$9</f>
        <v>0.20200000000000001</v>
      </c>
      <c r="G105" s="342">
        <f>$D$9</f>
        <v>0.20200000000000001</v>
      </c>
      <c r="H105" s="342">
        <f>$E$9</f>
        <v>0.20200000000000001</v>
      </c>
      <c r="I105" s="342">
        <f>$F$9</f>
        <v>0.20200000000000001</v>
      </c>
      <c r="J105" s="342">
        <f>$G$9</f>
        <v>0.20200000000000001</v>
      </c>
      <c r="K105" s="342">
        <f>$H$9</f>
        <v>0.20200000000000001</v>
      </c>
      <c r="L105" s="85"/>
      <c r="M105" s="85"/>
      <c r="N105" s="85"/>
    </row>
    <row r="106" spans="1:14">
      <c r="A106" s="169"/>
      <c r="B106" s="310">
        <f>ROUND(SUM(F106:K106),2)</f>
        <v>446687.31</v>
      </c>
      <c r="C106" s="170"/>
      <c r="D106" s="171" t="s">
        <v>534</v>
      </c>
      <c r="E106" s="172"/>
      <c r="F106" s="173">
        <f>F104*F105</f>
        <v>242362.50880000001</v>
      </c>
      <c r="G106" s="173">
        <f t="shared" ref="G106:K106" si="13">G104*G105</f>
        <v>75401.630800000014</v>
      </c>
      <c r="H106" s="173">
        <f t="shared" si="13"/>
        <v>53858.290400000005</v>
      </c>
      <c r="I106" s="173">
        <f t="shared" si="13"/>
        <v>21543.340400000005</v>
      </c>
      <c r="J106" s="173">
        <f t="shared" si="13"/>
        <v>26929.125</v>
      </c>
      <c r="K106" s="173">
        <f t="shared" si="13"/>
        <v>26592.411200000002</v>
      </c>
      <c r="L106" s="172"/>
      <c r="M106" s="172"/>
      <c r="N106" s="85"/>
    </row>
    <row r="107" spans="1:14">
      <c r="A107" s="85"/>
      <c r="B107" s="85"/>
      <c r="C107" s="85"/>
      <c r="D107" s="85"/>
      <c r="E107" s="85"/>
      <c r="F107" s="85"/>
      <c r="G107" s="85"/>
      <c r="H107" s="85"/>
      <c r="I107" s="85"/>
      <c r="J107" s="85"/>
      <c r="K107" s="85"/>
      <c r="L107" s="85"/>
      <c r="M107" s="85"/>
      <c r="N107" s="85"/>
    </row>
    <row r="108" spans="1:14" ht="15.75" thickBot="1">
      <c r="A108" s="158"/>
      <c r="B108" s="159" t="s">
        <v>67</v>
      </c>
      <c r="C108" s="159"/>
      <c r="D108" s="110" t="s">
        <v>391</v>
      </c>
      <c r="E108" s="160"/>
      <c r="F108" s="161" t="s">
        <v>392</v>
      </c>
      <c r="G108" s="161" t="s">
        <v>393</v>
      </c>
      <c r="H108" s="161" t="s">
        <v>394</v>
      </c>
      <c r="I108" s="161" t="s">
        <v>395</v>
      </c>
      <c r="J108" s="161" t="s">
        <v>396</v>
      </c>
      <c r="K108" s="161" t="s">
        <v>397</v>
      </c>
      <c r="L108" s="158"/>
      <c r="M108" s="158"/>
      <c r="N108" s="85"/>
    </row>
    <row r="109" spans="1:14" ht="16.5" thickTop="1" thickBot="1">
      <c r="A109" s="163"/>
      <c r="B109" s="85"/>
      <c r="C109" s="85"/>
      <c r="D109" s="164" t="s">
        <v>531</v>
      </c>
      <c r="E109" s="165"/>
      <c r="F109" s="166">
        <v>12</v>
      </c>
      <c r="G109" s="166">
        <v>0</v>
      </c>
      <c r="H109" s="166">
        <v>0</v>
      </c>
      <c r="I109" s="166">
        <v>0</v>
      </c>
      <c r="J109" s="166">
        <v>0</v>
      </c>
      <c r="K109" s="166">
        <v>0</v>
      </c>
      <c r="L109" s="85"/>
      <c r="M109" s="101">
        <f>B27-(SUM(F109:K109))</f>
        <v>0</v>
      </c>
      <c r="N109" s="85"/>
    </row>
    <row r="110" spans="1:14" ht="15.75" thickTop="1">
      <c r="A110" s="150" t="s">
        <v>104</v>
      </c>
      <c r="B110" s="166">
        <f>SUM(F110:K110)</f>
        <v>359944.32</v>
      </c>
      <c r="C110" s="166"/>
      <c r="D110" s="164" t="s">
        <v>532</v>
      </c>
      <c r="E110" s="165"/>
      <c r="F110" s="166">
        <f>F109*$C$6</f>
        <v>359944.32</v>
      </c>
      <c r="G110" s="166">
        <f>G109*$D$6</f>
        <v>0</v>
      </c>
      <c r="H110" s="166">
        <f>H109*$E$6</f>
        <v>0</v>
      </c>
      <c r="I110" s="166">
        <f>I109*$F$6</f>
        <v>0</v>
      </c>
      <c r="J110" s="166">
        <f>J109*$G$6</f>
        <v>0</v>
      </c>
      <c r="K110" s="166">
        <f>K109*$H$6</f>
        <v>0</v>
      </c>
      <c r="L110" s="85"/>
      <c r="M110" s="85"/>
      <c r="N110" s="85"/>
    </row>
    <row r="111" spans="1:14">
      <c r="A111" s="163"/>
      <c r="B111" s="165"/>
      <c r="C111" s="165"/>
      <c r="D111" s="164" t="s">
        <v>533</v>
      </c>
      <c r="E111" s="165"/>
      <c r="F111" s="344">
        <f>$C$11</f>
        <v>0.39200000000000002</v>
      </c>
      <c r="G111" s="344">
        <f>$D$11</f>
        <v>0.39200000000000002</v>
      </c>
      <c r="H111" s="344">
        <f>$E$11</f>
        <v>0.39200000000000002</v>
      </c>
      <c r="I111" s="344">
        <f>$F$11</f>
        <v>0.39200000000000002</v>
      </c>
      <c r="J111" s="344">
        <f>$G$11</f>
        <v>0.39200000000000002</v>
      </c>
      <c r="K111" s="344">
        <f>$H$11</f>
        <v>0.39200000000000002</v>
      </c>
      <c r="L111" s="85"/>
      <c r="M111" s="85"/>
      <c r="N111" s="85"/>
    </row>
    <row r="112" spans="1:14">
      <c r="A112" s="169"/>
      <c r="B112" s="310">
        <f>ROUND(SUM(F112:K112),2)</f>
        <v>141098.17000000001</v>
      </c>
      <c r="C112" s="170"/>
      <c r="D112" s="171" t="s">
        <v>534</v>
      </c>
      <c r="E112" s="172"/>
      <c r="F112" s="173">
        <f>F110*F111</f>
        <v>141098.17344000001</v>
      </c>
      <c r="G112" s="173">
        <f t="shared" ref="G112:K112" si="14">G110*G111</f>
        <v>0</v>
      </c>
      <c r="H112" s="173">
        <f t="shared" si="14"/>
        <v>0</v>
      </c>
      <c r="I112" s="173">
        <f t="shared" si="14"/>
        <v>0</v>
      </c>
      <c r="J112" s="173">
        <f t="shared" si="14"/>
        <v>0</v>
      </c>
      <c r="K112" s="173">
        <f t="shared" si="14"/>
        <v>0</v>
      </c>
      <c r="L112" s="172"/>
      <c r="M112" s="172"/>
      <c r="N112" s="85"/>
    </row>
    <row r="113" spans="1:14">
      <c r="A113" s="85"/>
      <c r="B113" s="85"/>
      <c r="C113" s="85"/>
      <c r="D113" s="85"/>
      <c r="E113" s="85"/>
      <c r="F113" s="85"/>
      <c r="G113" s="85"/>
      <c r="H113" s="85"/>
      <c r="I113" s="85"/>
      <c r="J113" s="85"/>
      <c r="K113" s="85"/>
      <c r="L113" s="85"/>
      <c r="M113" s="85"/>
      <c r="N113" s="85"/>
    </row>
    <row r="114" spans="1:14" ht="15.75" thickBot="1">
      <c r="A114" s="158"/>
      <c r="B114" s="159" t="s">
        <v>67</v>
      </c>
      <c r="C114" s="159"/>
      <c r="D114" s="110" t="s">
        <v>391</v>
      </c>
      <c r="E114" s="160"/>
      <c r="F114" s="161" t="s">
        <v>392</v>
      </c>
      <c r="G114" s="161" t="s">
        <v>393</v>
      </c>
      <c r="H114" s="161" t="s">
        <v>394</v>
      </c>
      <c r="I114" s="161" t="s">
        <v>395</v>
      </c>
      <c r="J114" s="161" t="s">
        <v>396</v>
      </c>
      <c r="K114" s="161" t="s">
        <v>397</v>
      </c>
      <c r="L114" s="158"/>
      <c r="M114" s="158"/>
      <c r="N114" s="85"/>
    </row>
    <row r="115" spans="1:14" ht="16.5" thickTop="1" thickBot="1">
      <c r="A115" s="163"/>
      <c r="B115" s="85"/>
      <c r="C115" s="85"/>
      <c r="D115" s="164" t="s">
        <v>531</v>
      </c>
      <c r="E115" s="165"/>
      <c r="F115" s="166">
        <v>40</v>
      </c>
      <c r="G115" s="166">
        <v>20</v>
      </c>
      <c r="H115" s="166">
        <v>20</v>
      </c>
      <c r="I115" s="166">
        <v>20</v>
      </c>
      <c r="J115" s="166">
        <v>12</v>
      </c>
      <c r="K115" s="166">
        <v>0</v>
      </c>
      <c r="L115" s="85"/>
      <c r="M115" s="101">
        <f>B28-(SUM(F115:K115))</f>
        <v>0</v>
      </c>
      <c r="N115" s="85"/>
    </row>
    <row r="116" spans="1:14" ht="15.75" thickTop="1">
      <c r="A116" s="149" t="s">
        <v>105</v>
      </c>
      <c r="B116" s="166">
        <f>SUM(F116:K116)</f>
        <v>1978360.1999999997</v>
      </c>
      <c r="C116" s="166"/>
      <c r="D116" s="164" t="s">
        <v>532</v>
      </c>
      <c r="E116" s="165"/>
      <c r="F116" s="166">
        <f>F115*$C$6</f>
        <v>1199814.3999999999</v>
      </c>
      <c r="G116" s="166">
        <f>G115*$D$6</f>
        <v>373275.4</v>
      </c>
      <c r="H116" s="166">
        <f>H115*$E$6</f>
        <v>266625.2</v>
      </c>
      <c r="I116" s="166">
        <f>I115*$F$6</f>
        <v>106650.20000000001</v>
      </c>
      <c r="J116" s="166">
        <f>J115*$G$6</f>
        <v>31995</v>
      </c>
      <c r="K116" s="166">
        <f>K115*$H$6</f>
        <v>0</v>
      </c>
      <c r="L116" s="85"/>
      <c r="M116" s="85"/>
      <c r="N116" s="85"/>
    </row>
    <row r="117" spans="1:14">
      <c r="A117" s="163"/>
      <c r="B117" s="165"/>
      <c r="C117" s="165"/>
      <c r="D117" s="164" t="s">
        <v>533</v>
      </c>
      <c r="E117" s="165"/>
      <c r="F117" s="342">
        <f>$C$9</f>
        <v>0.20200000000000001</v>
      </c>
      <c r="G117" s="342">
        <f>$D$9</f>
        <v>0.20200000000000001</v>
      </c>
      <c r="H117" s="342">
        <f>$E$9</f>
        <v>0.20200000000000001</v>
      </c>
      <c r="I117" s="342">
        <f>$F$9</f>
        <v>0.20200000000000001</v>
      </c>
      <c r="J117" s="342">
        <f>$G$9</f>
        <v>0.20200000000000001</v>
      </c>
      <c r="K117" s="342">
        <f>$H$9</f>
        <v>0.20200000000000001</v>
      </c>
      <c r="L117" s="85"/>
      <c r="M117" s="85"/>
      <c r="N117" s="85"/>
    </row>
    <row r="118" spans="1:14">
      <c r="A118" s="169"/>
      <c r="B118" s="310">
        <f>ROUND(SUM(F118:K118),2)</f>
        <v>399628.76</v>
      </c>
      <c r="C118" s="170"/>
      <c r="D118" s="171" t="s">
        <v>534</v>
      </c>
      <c r="E118" s="172"/>
      <c r="F118" s="173">
        <f>F116*F117</f>
        <v>242362.50880000001</v>
      </c>
      <c r="G118" s="173">
        <f t="shared" ref="G118:K118" si="15">G116*G117</f>
        <v>75401.630800000014</v>
      </c>
      <c r="H118" s="173">
        <f t="shared" si="15"/>
        <v>53858.290400000005</v>
      </c>
      <c r="I118" s="173">
        <f t="shared" si="15"/>
        <v>21543.340400000005</v>
      </c>
      <c r="J118" s="173">
        <f t="shared" si="15"/>
        <v>6462.9900000000007</v>
      </c>
      <c r="K118" s="173">
        <f t="shared" si="15"/>
        <v>0</v>
      </c>
      <c r="L118" s="172"/>
      <c r="M118" s="172"/>
      <c r="N118" s="85"/>
    </row>
    <row r="119" spans="1:14">
      <c r="A119" s="85"/>
      <c r="B119" s="85"/>
      <c r="C119" s="85"/>
      <c r="D119" s="85"/>
      <c r="E119" s="85"/>
      <c r="F119" s="85"/>
      <c r="G119" s="85"/>
      <c r="H119" s="85"/>
      <c r="I119" s="85"/>
      <c r="J119" s="85"/>
      <c r="K119" s="85"/>
      <c r="L119" s="85"/>
      <c r="M119" s="85"/>
      <c r="N119" s="85"/>
    </row>
    <row r="120" spans="1:14" ht="15.75" thickBot="1">
      <c r="A120" s="85"/>
      <c r="B120" s="174" t="s">
        <v>67</v>
      </c>
      <c r="C120" s="174"/>
      <c r="D120" s="164" t="s">
        <v>391</v>
      </c>
      <c r="E120" s="165"/>
      <c r="F120" s="139" t="s">
        <v>392</v>
      </c>
      <c r="G120" s="139" t="s">
        <v>393</v>
      </c>
      <c r="H120" s="139" t="s">
        <v>394</v>
      </c>
      <c r="I120" s="139" t="s">
        <v>395</v>
      </c>
      <c r="J120" s="139" t="s">
        <v>396</v>
      </c>
      <c r="K120" s="139" t="s">
        <v>397</v>
      </c>
      <c r="L120" s="85"/>
      <c r="M120" s="85"/>
      <c r="N120" s="85"/>
    </row>
    <row r="121" spans="1:14" ht="16.5" thickTop="1" thickBot="1">
      <c r="A121" s="163"/>
      <c r="B121" s="85"/>
      <c r="C121" s="85"/>
      <c r="D121" s="164" t="s">
        <v>531</v>
      </c>
      <c r="E121" s="165"/>
      <c r="F121" s="166">
        <v>40</v>
      </c>
      <c r="G121" s="166">
        <v>2</v>
      </c>
      <c r="H121" s="166">
        <v>0</v>
      </c>
      <c r="I121" s="166">
        <v>0</v>
      </c>
      <c r="J121" s="166">
        <v>0</v>
      </c>
      <c r="K121" s="166">
        <v>0</v>
      </c>
      <c r="L121" s="85"/>
      <c r="M121" s="101">
        <f>B29-(SUM(F121:K121))</f>
        <v>0</v>
      </c>
      <c r="N121" s="85"/>
    </row>
    <row r="122" spans="1:14" ht="15.75" thickTop="1">
      <c r="A122" s="153" t="s">
        <v>106</v>
      </c>
      <c r="B122" s="166">
        <f>SUM(F122:K122)</f>
        <v>1237141.94</v>
      </c>
      <c r="C122" s="166"/>
      <c r="D122" s="164" t="s">
        <v>532</v>
      </c>
      <c r="E122" s="165"/>
      <c r="F122" s="166">
        <f>F121*$C$6</f>
        <v>1199814.3999999999</v>
      </c>
      <c r="G122" s="166">
        <f>G121*$D$6</f>
        <v>37327.54</v>
      </c>
      <c r="H122" s="166">
        <f>H121*$E$6</f>
        <v>0</v>
      </c>
      <c r="I122" s="166">
        <f>I121*$F$6</f>
        <v>0</v>
      </c>
      <c r="J122" s="166">
        <f>J121*$G$6</f>
        <v>0</v>
      </c>
      <c r="K122" s="166">
        <f>K121*$H$6</f>
        <v>0</v>
      </c>
      <c r="L122" s="85"/>
      <c r="M122" s="85"/>
      <c r="N122" s="85"/>
    </row>
    <row r="123" spans="1:14">
      <c r="A123" s="163"/>
      <c r="B123" s="165"/>
      <c r="C123" s="165"/>
      <c r="D123" s="164" t="s">
        <v>533</v>
      </c>
      <c r="E123" s="165"/>
      <c r="F123" s="343">
        <f>$C$10</f>
        <v>0.34200000000000003</v>
      </c>
      <c r="G123" s="343">
        <f>$D$10</f>
        <v>0.34200000000000003</v>
      </c>
      <c r="H123" s="343">
        <f>$E$10</f>
        <v>0.34200000000000003</v>
      </c>
      <c r="I123" s="343">
        <f>$F$10</f>
        <v>0.34200000000000003</v>
      </c>
      <c r="J123" s="343">
        <f>$G$10</f>
        <v>0.34200000000000003</v>
      </c>
      <c r="K123" s="343">
        <f>$H$10</f>
        <v>0.34200000000000003</v>
      </c>
      <c r="L123" s="85"/>
      <c r="M123" s="85"/>
      <c r="N123" s="85"/>
    </row>
    <row r="124" spans="1:14">
      <c r="A124" s="169"/>
      <c r="B124" s="310">
        <f>ROUND(SUM(F124:K124),2)</f>
        <v>423102.54</v>
      </c>
      <c r="C124" s="170"/>
      <c r="D124" s="171" t="s">
        <v>534</v>
      </c>
      <c r="E124" s="172"/>
      <c r="F124" s="173">
        <f>F122*F123</f>
        <v>410336.52480000001</v>
      </c>
      <c r="G124" s="173">
        <f t="shared" ref="G124:K124" si="16">G122*G123</f>
        <v>12766.018680000001</v>
      </c>
      <c r="H124" s="173">
        <f t="shared" si="16"/>
        <v>0</v>
      </c>
      <c r="I124" s="173">
        <f t="shared" si="16"/>
        <v>0</v>
      </c>
      <c r="J124" s="173">
        <f t="shared" si="16"/>
        <v>0</v>
      </c>
      <c r="K124" s="173">
        <f t="shared" si="16"/>
        <v>0</v>
      </c>
      <c r="L124" s="172"/>
      <c r="M124" s="172"/>
      <c r="N124" s="85"/>
    </row>
    <row r="125" spans="1:14">
      <c r="A125" s="85"/>
      <c r="B125" s="85"/>
      <c r="C125" s="85"/>
      <c r="D125" s="85"/>
      <c r="E125" s="85"/>
      <c r="F125" s="85"/>
      <c r="G125" s="85"/>
      <c r="H125" s="85"/>
      <c r="I125" s="85"/>
      <c r="J125" s="85"/>
      <c r="K125" s="85"/>
      <c r="L125" s="85"/>
      <c r="M125" s="85"/>
      <c r="N125" s="85"/>
    </row>
    <row r="126" spans="1:14" ht="15.75" thickBot="1">
      <c r="A126" s="158"/>
      <c r="B126" s="159" t="s">
        <v>67</v>
      </c>
      <c r="C126" s="159"/>
      <c r="D126" s="110" t="s">
        <v>391</v>
      </c>
      <c r="E126" s="160"/>
      <c r="F126" s="161" t="s">
        <v>392</v>
      </c>
      <c r="G126" s="161" t="s">
        <v>393</v>
      </c>
      <c r="H126" s="161" t="s">
        <v>394</v>
      </c>
      <c r="I126" s="161" t="s">
        <v>395</v>
      </c>
      <c r="J126" s="161" t="s">
        <v>396</v>
      </c>
      <c r="K126" s="161" t="s">
        <v>397</v>
      </c>
      <c r="L126" s="158"/>
      <c r="M126" s="158"/>
      <c r="N126" s="85"/>
    </row>
    <row r="127" spans="1:14" ht="16.5" thickTop="1" thickBot="1">
      <c r="A127" s="163"/>
      <c r="B127" s="85"/>
      <c r="C127" s="85"/>
      <c r="D127" s="164" t="s">
        <v>531</v>
      </c>
      <c r="E127" s="165"/>
      <c r="F127" s="166">
        <v>40</v>
      </c>
      <c r="G127" s="166">
        <v>20</v>
      </c>
      <c r="H127" s="166">
        <v>20</v>
      </c>
      <c r="I127" s="166">
        <v>20</v>
      </c>
      <c r="J127" s="166">
        <v>50</v>
      </c>
      <c r="K127" s="166">
        <v>1081</v>
      </c>
      <c r="L127" s="85"/>
      <c r="M127" s="101">
        <f>B30-(SUM(F127:K127))</f>
        <v>0</v>
      </c>
      <c r="N127" s="85"/>
    </row>
    <row r="128" spans="1:14" ht="15.75" thickTop="1">
      <c r="A128" s="149" t="s">
        <v>107</v>
      </c>
      <c r="B128" s="166">
        <f>SUM(F128:K128)</f>
        <v>3881056.0999999996</v>
      </c>
      <c r="C128" s="166"/>
      <c r="D128" s="164" t="s">
        <v>532</v>
      </c>
      <c r="E128" s="165"/>
      <c r="F128" s="166">
        <f>F127*$C$6</f>
        <v>1199814.3999999999</v>
      </c>
      <c r="G128" s="166">
        <f>G127*$D$6</f>
        <v>373275.4</v>
      </c>
      <c r="H128" s="166">
        <f>H127*$E$6</f>
        <v>266625.2</v>
      </c>
      <c r="I128" s="166">
        <f>I127*$F$6</f>
        <v>106650.20000000001</v>
      </c>
      <c r="J128" s="166">
        <f>J127*$G$6</f>
        <v>133312.5</v>
      </c>
      <c r="K128" s="166">
        <f>K127*$H$6</f>
        <v>1801378.4000000001</v>
      </c>
      <c r="L128" s="85"/>
      <c r="M128" s="85"/>
      <c r="N128" s="85"/>
    </row>
    <row r="129" spans="1:14">
      <c r="A129" s="163"/>
      <c r="B129" s="165"/>
      <c r="C129" s="165"/>
      <c r="D129" s="164" t="s">
        <v>533</v>
      </c>
      <c r="E129" s="165"/>
      <c r="F129" s="342">
        <f>$C$9</f>
        <v>0.20200000000000001</v>
      </c>
      <c r="G129" s="342">
        <f>$D$9</f>
        <v>0.20200000000000001</v>
      </c>
      <c r="H129" s="342">
        <f>$E$9</f>
        <v>0.20200000000000001</v>
      </c>
      <c r="I129" s="342">
        <f>$F$9</f>
        <v>0.20200000000000001</v>
      </c>
      <c r="J129" s="342">
        <f>$G$9</f>
        <v>0.20200000000000001</v>
      </c>
      <c r="K129" s="342">
        <f>$H$9</f>
        <v>0.20200000000000001</v>
      </c>
      <c r="L129" s="85"/>
      <c r="M129" s="85"/>
      <c r="N129" s="85"/>
    </row>
    <row r="130" spans="1:14">
      <c r="A130" s="169"/>
      <c r="B130" s="310">
        <f>ROUND(SUM(F130:K130),2)</f>
        <v>783973.33</v>
      </c>
      <c r="C130" s="170"/>
      <c r="D130" s="171" t="s">
        <v>534</v>
      </c>
      <c r="E130" s="172"/>
      <c r="F130" s="173">
        <f>F128*F129</f>
        <v>242362.50880000001</v>
      </c>
      <c r="G130" s="173">
        <f t="shared" ref="G130:K130" si="17">G128*G129</f>
        <v>75401.630800000014</v>
      </c>
      <c r="H130" s="173">
        <f t="shared" si="17"/>
        <v>53858.290400000005</v>
      </c>
      <c r="I130" s="173">
        <f t="shared" si="17"/>
        <v>21543.340400000005</v>
      </c>
      <c r="J130" s="173">
        <f t="shared" si="17"/>
        <v>26929.125</v>
      </c>
      <c r="K130" s="173">
        <f t="shared" si="17"/>
        <v>363878.43680000002</v>
      </c>
      <c r="L130" s="172"/>
      <c r="M130" s="172"/>
      <c r="N130" s="85"/>
    </row>
    <row r="131" spans="1:14">
      <c r="A131" s="85"/>
      <c r="B131" s="85"/>
      <c r="C131" s="85"/>
      <c r="D131" s="85"/>
      <c r="E131" s="85"/>
      <c r="F131" s="85"/>
      <c r="G131" s="85"/>
      <c r="H131" s="85"/>
      <c r="I131" s="85"/>
      <c r="J131" s="85"/>
      <c r="K131" s="85"/>
      <c r="L131" s="85"/>
      <c r="M131" s="85"/>
      <c r="N131" s="85"/>
    </row>
    <row r="132" spans="1:14" ht="15.75" thickBot="1">
      <c r="A132" s="85"/>
      <c r="B132" s="85"/>
      <c r="C132" s="85"/>
      <c r="D132" s="85"/>
      <c r="E132" s="85"/>
      <c r="F132" s="85"/>
      <c r="G132" s="85"/>
      <c r="H132" s="85"/>
      <c r="I132" s="85"/>
      <c r="J132" s="85"/>
      <c r="K132" s="85"/>
      <c r="L132" s="85"/>
      <c r="M132" s="85"/>
      <c r="N132" s="85"/>
    </row>
    <row r="133" spans="1:14" ht="16.5" thickTop="1" thickBot="1">
      <c r="A133" s="175" t="s">
        <v>535</v>
      </c>
      <c r="B133" s="176"/>
      <c r="C133" s="175">
        <v>2024</v>
      </c>
      <c r="D133" s="301">
        <f>B40+B46+B52+B58+B64+B70+B76+B82+B88+B94+B100+B106+B112+B118+B124+B130</f>
        <v>6287492.5099999998</v>
      </c>
      <c r="E133" s="101">
        <f>D133-'Skola, STR &amp; Spcfr'!B23</f>
        <v>0</v>
      </c>
      <c r="F133" s="85"/>
      <c r="G133" s="85"/>
      <c r="H133" s="85"/>
      <c r="I133" s="85"/>
      <c r="J133" s="85"/>
      <c r="K133" s="85"/>
      <c r="L133" s="85"/>
      <c r="M133" s="85"/>
      <c r="N133" s="85"/>
    </row>
    <row r="134" spans="1:14" ht="15.75" thickTop="1">
      <c r="A134" s="104"/>
      <c r="B134" s="85"/>
      <c r="C134" s="85"/>
      <c r="D134" s="93"/>
      <c r="E134" s="93"/>
      <c r="F134" s="85"/>
      <c r="G134" s="85"/>
      <c r="H134" s="85"/>
      <c r="I134" s="85"/>
      <c r="J134" s="85"/>
      <c r="K134" s="85"/>
      <c r="L134" s="85"/>
      <c r="M134" s="85"/>
      <c r="N134" s="85"/>
    </row>
  </sheetData>
  <pageMargins left="0.7" right="0.7" top="0.75" bottom="0.75" header="0.3" footer="0.3"/>
  <pageSetup paperSize="9" scale="88" orientation="landscape" r:id="rId1"/>
  <rowBreaks count="3" manualBreakCount="3">
    <brk id="34" max="16383" man="1"/>
    <brk id="71" max="16383" man="1"/>
    <brk id="107"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36"/>
  <sheetViews>
    <sheetView topLeftCell="A8" zoomScaleNormal="100" workbookViewId="0">
      <selection activeCell="E36" sqref="E36"/>
    </sheetView>
  </sheetViews>
  <sheetFormatPr defaultColWidth="8.77734375" defaultRowHeight="15"/>
  <cols>
    <col min="1" max="1" width="14.6640625" style="5" customWidth="1"/>
    <col min="2" max="2" width="10.77734375" style="5" customWidth="1"/>
    <col min="3" max="3" width="10" style="5" customWidth="1"/>
    <col min="4" max="4" width="9.6640625" style="5" customWidth="1"/>
    <col min="5" max="5" width="11.109375" style="5" bestFit="1" customWidth="1"/>
    <col min="6" max="6" width="8.77734375" style="5"/>
    <col min="7" max="8" width="9.88671875" style="5" bestFit="1" customWidth="1"/>
    <col min="9" max="16384" width="8.77734375" style="5"/>
  </cols>
  <sheetData>
    <row r="1" spans="1:6" ht="15.75">
      <c r="A1" s="11" t="s">
        <v>382</v>
      </c>
      <c r="B1" s="770"/>
      <c r="C1" s="770"/>
      <c r="D1" s="770"/>
      <c r="E1" s="770"/>
      <c r="F1" s="770"/>
    </row>
    <row r="2" spans="1:6">
      <c r="A2" s="770" t="s">
        <v>536</v>
      </c>
      <c r="B2" s="770"/>
      <c r="C2" s="770"/>
      <c r="D2" s="770"/>
      <c r="E2" s="770"/>
      <c r="F2" s="770"/>
    </row>
    <row r="4" spans="1:6">
      <c r="A4" s="53" t="s">
        <v>537</v>
      </c>
      <c r="B4" s="85"/>
      <c r="C4" s="85"/>
      <c r="D4" s="85"/>
      <c r="E4" s="85"/>
      <c r="F4" s="85"/>
    </row>
    <row r="5" spans="1:6">
      <c r="A5" s="85"/>
      <c r="B5" s="85"/>
      <c r="C5" s="85"/>
      <c r="D5" s="85"/>
      <c r="E5" s="85"/>
      <c r="F5" s="85"/>
    </row>
    <row r="6" spans="1:6" ht="16.149999999999999" customHeight="1">
      <c r="A6" s="104" t="s">
        <v>538</v>
      </c>
      <c r="B6" s="183">
        <f>Basbelopp!Q81</f>
        <v>39784.81</v>
      </c>
      <c r="C6" s="85"/>
      <c r="D6" s="85"/>
      <c r="E6" s="85"/>
      <c r="F6" s="85"/>
    </row>
    <row r="7" spans="1:6">
      <c r="A7" s="104" t="s">
        <v>533</v>
      </c>
      <c r="B7" s="239">
        <v>1</v>
      </c>
      <c r="C7" s="85"/>
      <c r="D7" s="85"/>
      <c r="E7" s="85"/>
      <c r="F7" s="85"/>
    </row>
    <row r="8" spans="1:6">
      <c r="A8" s="85"/>
      <c r="B8" s="239"/>
      <c r="C8" s="85"/>
      <c r="D8" s="85"/>
      <c r="E8" s="85"/>
      <c r="F8" s="85"/>
    </row>
    <row r="9" spans="1:6">
      <c r="A9" s="105"/>
      <c r="B9" s="103" t="s">
        <v>531</v>
      </c>
      <c r="C9" s="103" t="s">
        <v>532</v>
      </c>
      <c r="D9" s="201" t="s">
        <v>539</v>
      </c>
      <c r="E9" s="85"/>
      <c r="F9" s="85"/>
    </row>
    <row r="10" spans="1:6">
      <c r="A10" s="104" t="s">
        <v>92</v>
      </c>
      <c r="B10" s="240">
        <v>0</v>
      </c>
      <c r="C10" s="93">
        <f>$B$6*B10</f>
        <v>0</v>
      </c>
      <c r="D10" s="118">
        <f>ROUND(C10*$B$7,2)</f>
        <v>0</v>
      </c>
      <c r="E10" s="85"/>
      <c r="F10" s="85"/>
    </row>
    <row r="11" spans="1:6">
      <c r="A11" s="104" t="s">
        <v>93</v>
      </c>
      <c r="B11" s="240">
        <v>2</v>
      </c>
      <c r="C11" s="93">
        <f>$B$6*B11</f>
        <v>79569.62</v>
      </c>
      <c r="D11" s="118">
        <f>ROUND(C11*$B$7,2)</f>
        <v>79569.62</v>
      </c>
      <c r="E11" s="85"/>
      <c r="F11" s="85"/>
    </row>
    <row r="12" spans="1:6">
      <c r="A12" s="104" t="s">
        <v>94</v>
      </c>
      <c r="B12" s="240">
        <v>0.83333333333333337</v>
      </c>
      <c r="C12" s="93">
        <f>$B$6*B12</f>
        <v>33154.008333333331</v>
      </c>
      <c r="D12" s="118">
        <f t="shared" ref="D12:D25" si="0">ROUND(C12*$B$7,2)</f>
        <v>33154.01</v>
      </c>
      <c r="E12" s="85"/>
      <c r="F12" s="85"/>
    </row>
    <row r="13" spans="1:6">
      <c r="A13" s="104" t="s">
        <v>95</v>
      </c>
      <c r="B13" s="240">
        <v>1</v>
      </c>
      <c r="C13" s="93">
        <f t="shared" ref="C13:C25" si="1">$B$6*B13</f>
        <v>39784.81</v>
      </c>
      <c r="D13" s="118">
        <f t="shared" si="0"/>
        <v>39784.81</v>
      </c>
      <c r="E13" s="85"/>
      <c r="F13" s="85"/>
    </row>
    <row r="14" spans="1:6">
      <c r="A14" s="104" t="s">
        <v>96</v>
      </c>
      <c r="B14" s="240">
        <v>1.5833333333333335</v>
      </c>
      <c r="C14" s="93">
        <f t="shared" si="1"/>
        <v>62992.615833333337</v>
      </c>
      <c r="D14" s="118">
        <f t="shared" si="0"/>
        <v>62992.62</v>
      </c>
      <c r="E14" s="85"/>
      <c r="F14" s="85"/>
    </row>
    <row r="15" spans="1:6">
      <c r="A15" s="104" t="s">
        <v>97</v>
      </c>
      <c r="B15" s="240">
        <v>0.41666666666666669</v>
      </c>
      <c r="C15" s="93">
        <f t="shared" si="1"/>
        <v>16577.004166666666</v>
      </c>
      <c r="D15" s="118">
        <f t="shared" si="0"/>
        <v>16577</v>
      </c>
      <c r="E15" s="85"/>
      <c r="F15" s="85"/>
    </row>
    <row r="16" spans="1:6">
      <c r="A16" s="104" t="s">
        <v>98</v>
      </c>
      <c r="B16" s="240">
        <v>9.8333333333333339</v>
      </c>
      <c r="C16" s="93">
        <f t="shared" si="1"/>
        <v>391217.29833333334</v>
      </c>
      <c r="D16" s="118">
        <f t="shared" si="0"/>
        <v>391217.3</v>
      </c>
      <c r="E16" s="85"/>
      <c r="F16" s="85"/>
    </row>
    <row r="17" spans="1:10">
      <c r="A17" s="104" t="s">
        <v>99</v>
      </c>
      <c r="B17" s="240">
        <v>0</v>
      </c>
      <c r="C17" s="93">
        <f t="shared" si="1"/>
        <v>0</v>
      </c>
      <c r="D17" s="118">
        <f t="shared" si="0"/>
        <v>0</v>
      </c>
      <c r="E17" s="85"/>
      <c r="F17" s="85"/>
      <c r="G17" s="770"/>
      <c r="H17" s="770"/>
      <c r="I17" s="770"/>
      <c r="J17" s="770"/>
    </row>
    <row r="18" spans="1:10">
      <c r="A18" s="104" t="s">
        <v>100</v>
      </c>
      <c r="B18" s="240">
        <v>0</v>
      </c>
      <c r="C18" s="93">
        <f t="shared" si="1"/>
        <v>0</v>
      </c>
      <c r="D18" s="118">
        <f t="shared" si="0"/>
        <v>0</v>
      </c>
      <c r="E18" s="85"/>
      <c r="F18" s="85"/>
      <c r="G18" s="770"/>
      <c r="H18" s="770"/>
      <c r="I18" s="770"/>
      <c r="J18" s="770"/>
    </row>
    <row r="19" spans="1:10">
      <c r="A19" s="104" t="s">
        <v>101</v>
      </c>
      <c r="B19" s="240">
        <v>2.1666666666666665</v>
      </c>
      <c r="C19" s="93">
        <f t="shared" si="1"/>
        <v>86200.421666666662</v>
      </c>
      <c r="D19" s="118">
        <f t="shared" si="0"/>
        <v>86200.42</v>
      </c>
      <c r="E19" s="85"/>
      <c r="F19" s="85"/>
      <c r="G19" s="770"/>
      <c r="H19" s="770"/>
      <c r="I19" s="770"/>
      <c r="J19" s="770"/>
    </row>
    <row r="20" spans="1:10">
      <c r="A20" s="104" t="s">
        <v>102</v>
      </c>
      <c r="B20" s="240">
        <v>1</v>
      </c>
      <c r="C20" s="93">
        <f t="shared" si="1"/>
        <v>39784.81</v>
      </c>
      <c r="D20" s="118">
        <f t="shared" si="0"/>
        <v>39784.81</v>
      </c>
      <c r="E20" s="85"/>
      <c r="F20" s="85"/>
      <c r="G20" s="770"/>
      <c r="H20" s="770"/>
      <c r="I20" s="770"/>
      <c r="J20" s="770"/>
    </row>
    <row r="21" spans="1:10">
      <c r="A21" s="104" t="s">
        <v>103</v>
      </c>
      <c r="B21" s="240">
        <v>4</v>
      </c>
      <c r="C21" s="93">
        <f t="shared" si="1"/>
        <v>159139.24</v>
      </c>
      <c r="D21" s="118">
        <f t="shared" si="0"/>
        <v>159139.24</v>
      </c>
      <c r="E21" s="85"/>
      <c r="F21" s="85"/>
      <c r="G21" s="776"/>
      <c r="H21" s="806"/>
      <c r="I21" s="770"/>
      <c r="J21" s="770"/>
    </row>
    <row r="22" spans="1:10">
      <c r="A22" s="104" t="s">
        <v>104</v>
      </c>
      <c r="B22" s="240">
        <v>0</v>
      </c>
      <c r="C22" s="93">
        <f t="shared" si="1"/>
        <v>0</v>
      </c>
      <c r="D22" s="118">
        <f t="shared" si="0"/>
        <v>0</v>
      </c>
      <c r="E22" s="85"/>
      <c r="F22" s="85"/>
      <c r="G22" s="776"/>
      <c r="H22" s="770"/>
      <c r="I22" s="770"/>
      <c r="J22" s="770"/>
    </row>
    <row r="23" spans="1:10">
      <c r="A23" s="104" t="s">
        <v>105</v>
      </c>
      <c r="B23" s="240">
        <v>2.416666666666667</v>
      </c>
      <c r="C23" s="93">
        <f t="shared" si="1"/>
        <v>96146.624166666676</v>
      </c>
      <c r="D23" s="118">
        <f t="shared" si="0"/>
        <v>96146.62</v>
      </c>
      <c r="E23" s="85"/>
      <c r="F23" s="85"/>
      <c r="G23" s="770"/>
      <c r="H23" s="770"/>
      <c r="I23" s="770"/>
      <c r="J23" s="770"/>
    </row>
    <row r="24" spans="1:10">
      <c r="A24" s="104" t="s">
        <v>106</v>
      </c>
      <c r="B24" s="240">
        <v>0.58333333333333337</v>
      </c>
      <c r="C24" s="93">
        <f t="shared" si="1"/>
        <v>23207.805833333332</v>
      </c>
      <c r="D24" s="118">
        <f t="shared" si="0"/>
        <v>23207.81</v>
      </c>
      <c r="E24" s="85"/>
      <c r="F24" s="85"/>
      <c r="G24" s="770"/>
      <c r="H24" s="770"/>
      <c r="I24" s="770"/>
      <c r="J24" s="770"/>
    </row>
    <row r="25" spans="1:10" ht="15.75" thickBot="1">
      <c r="A25" s="103" t="s">
        <v>107</v>
      </c>
      <c r="B25" s="242">
        <v>5.5833333333333339</v>
      </c>
      <c r="C25" s="94">
        <f t="shared" si="1"/>
        <v>222131.85583333333</v>
      </c>
      <c r="D25" s="120">
        <f t="shared" si="0"/>
        <v>222131.86</v>
      </c>
      <c r="E25" s="85"/>
      <c r="F25" s="85"/>
      <c r="G25" s="776"/>
      <c r="H25" s="770"/>
      <c r="I25" s="770"/>
      <c r="J25" s="85" t="s">
        <v>540</v>
      </c>
    </row>
    <row r="26" spans="1:10" ht="16.5" thickTop="1" thickBot="1">
      <c r="A26" s="104" t="s">
        <v>108</v>
      </c>
      <c r="B26" s="244">
        <v>31.416666666666671</v>
      </c>
      <c r="C26" s="97">
        <f>SUM(C10:C25)</f>
        <v>1249906.1141666668</v>
      </c>
      <c r="D26" s="122">
        <f>SUM(D10:D25)</f>
        <v>1249906.1200000001</v>
      </c>
      <c r="E26" s="770"/>
      <c r="F26" s="85"/>
      <c r="G26" s="770"/>
      <c r="H26" s="770"/>
      <c r="I26" s="770"/>
      <c r="J26" s="101">
        <f>D26-'Skola, STR &amp; Spcfr'!C23</f>
        <v>0</v>
      </c>
    </row>
    <row r="27" spans="1:10" ht="15.75" thickTop="1">
      <c r="A27" s="85"/>
      <c r="B27" s="85"/>
      <c r="C27" s="85"/>
      <c r="D27" s="85"/>
      <c r="E27" s="85"/>
      <c r="F27" s="85"/>
      <c r="G27" s="770"/>
      <c r="H27" s="770"/>
      <c r="I27" s="770"/>
      <c r="J27" s="770"/>
    </row>
    <row r="28" spans="1:10">
      <c r="A28" s="53" t="s">
        <v>541</v>
      </c>
      <c r="B28" s="85"/>
      <c r="C28" s="85"/>
      <c r="D28" s="85"/>
      <c r="E28" s="85"/>
      <c r="F28" s="85"/>
      <c r="G28" s="770"/>
      <c r="H28" s="770"/>
      <c r="I28" s="770"/>
      <c r="J28" s="770"/>
    </row>
    <row r="29" spans="1:10">
      <c r="A29" s="53" t="s">
        <v>542</v>
      </c>
      <c r="B29" s="80">
        <v>45175</v>
      </c>
      <c r="C29" s="85"/>
      <c r="D29" s="85"/>
      <c r="E29" s="85"/>
      <c r="F29" s="85"/>
      <c r="G29" s="770"/>
      <c r="H29" s="770"/>
      <c r="I29" s="770"/>
      <c r="J29" s="770"/>
    </row>
    <row r="30" spans="1:10">
      <c r="A30" s="85"/>
      <c r="B30" s="85"/>
      <c r="C30" s="85"/>
      <c r="D30" s="85"/>
      <c r="E30" s="85"/>
      <c r="F30" s="85"/>
      <c r="G30" s="770"/>
      <c r="H30" s="770"/>
      <c r="I30" s="770"/>
      <c r="J30" s="770"/>
    </row>
    <row r="36" spans="5:5" ht="15.75">
      <c r="E36" s="390"/>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36"/>
  <sheetViews>
    <sheetView topLeftCell="A8" zoomScaleNormal="100" workbookViewId="0">
      <selection activeCell="D25" sqref="D10:D25"/>
    </sheetView>
  </sheetViews>
  <sheetFormatPr defaultColWidth="8.77734375" defaultRowHeight="15"/>
  <cols>
    <col min="1" max="1" width="14.6640625" style="5" customWidth="1"/>
    <col min="2" max="2" width="10.77734375" style="5" customWidth="1"/>
    <col min="3" max="3" width="10" style="5" customWidth="1"/>
    <col min="4" max="4" width="9.6640625" style="5" customWidth="1"/>
    <col min="5" max="5" width="11.109375" style="5" bestFit="1" customWidth="1"/>
    <col min="6" max="6" width="8.77734375" style="5"/>
    <col min="7" max="8" width="9.88671875" style="5" bestFit="1" customWidth="1"/>
    <col min="9" max="16384" width="8.77734375" style="5"/>
  </cols>
  <sheetData>
    <row r="1" spans="1:10" ht="15.75">
      <c r="A1" s="11" t="s">
        <v>543</v>
      </c>
      <c r="B1" s="770"/>
      <c r="C1" s="770"/>
      <c r="D1" s="770"/>
      <c r="E1" s="770"/>
      <c r="F1" s="770"/>
      <c r="G1" s="770"/>
      <c r="H1" s="770"/>
      <c r="I1" s="770"/>
      <c r="J1" s="770"/>
    </row>
    <row r="2" spans="1:10">
      <c r="A2" s="770" t="s">
        <v>536</v>
      </c>
      <c r="B2" s="770"/>
      <c r="C2" s="770"/>
      <c r="D2" s="770"/>
      <c r="E2" s="770"/>
      <c r="F2" s="770"/>
      <c r="G2" s="770"/>
      <c r="H2" s="770"/>
      <c r="I2" s="770"/>
      <c r="J2" s="770"/>
    </row>
    <row r="4" spans="1:10">
      <c r="A4" s="53" t="s">
        <v>544</v>
      </c>
      <c r="B4" s="85"/>
      <c r="C4" s="85"/>
      <c r="D4" s="85"/>
      <c r="E4" s="85"/>
      <c r="F4" s="85"/>
      <c r="G4" s="770"/>
      <c r="H4" s="770"/>
      <c r="I4" s="770"/>
      <c r="J4" s="770"/>
    </row>
    <row r="5" spans="1:10">
      <c r="A5" s="85"/>
      <c r="B5" s="85"/>
      <c r="C5" s="85"/>
      <c r="D5" s="85"/>
      <c r="E5" s="85"/>
      <c r="F5" s="85"/>
      <c r="G5" s="770"/>
      <c r="H5" s="770"/>
      <c r="I5" s="770"/>
      <c r="J5" s="770"/>
    </row>
    <row r="6" spans="1:10" ht="16.149999999999999" customHeight="1">
      <c r="A6" s="104" t="s">
        <v>538</v>
      </c>
      <c r="B6" s="183">
        <f>Basbelopp!Y81</f>
        <v>11901.9</v>
      </c>
      <c r="C6" s="85"/>
      <c r="D6" s="770"/>
      <c r="E6" s="85"/>
      <c r="F6" s="85"/>
      <c r="G6" s="770"/>
      <c r="H6" s="770"/>
      <c r="I6" s="770"/>
      <c r="J6" s="770"/>
    </row>
    <row r="7" spans="1:10">
      <c r="A7" s="104" t="s">
        <v>533</v>
      </c>
      <c r="B7" s="239">
        <v>1</v>
      </c>
      <c r="C7" s="85"/>
      <c r="D7" s="85"/>
      <c r="E7" s="85"/>
      <c r="F7" s="85"/>
      <c r="G7" s="770"/>
      <c r="H7" s="770"/>
      <c r="I7" s="770"/>
      <c r="J7" s="770"/>
    </row>
    <row r="8" spans="1:10">
      <c r="A8" s="85"/>
      <c r="B8" s="239"/>
      <c r="C8" s="85"/>
      <c r="D8" s="85"/>
      <c r="E8" s="85"/>
      <c r="F8" s="85"/>
      <c r="G8" s="770"/>
      <c r="H8" s="770"/>
      <c r="I8" s="770"/>
      <c r="J8" s="770"/>
    </row>
    <row r="9" spans="1:10">
      <c r="A9" s="105"/>
      <c r="B9" s="103" t="s">
        <v>531</v>
      </c>
      <c r="C9" s="103" t="s">
        <v>532</v>
      </c>
      <c r="D9" s="201" t="s">
        <v>545</v>
      </c>
      <c r="E9" s="85"/>
      <c r="F9" s="85"/>
      <c r="G9" s="770"/>
      <c r="H9" s="770"/>
      <c r="I9" s="770"/>
      <c r="J9" s="770"/>
    </row>
    <row r="10" spans="1:10">
      <c r="A10" s="104" t="s">
        <v>92</v>
      </c>
      <c r="B10" s="240">
        <v>4</v>
      </c>
      <c r="C10" s="93">
        <f>$B$6*B10</f>
        <v>47607.6</v>
      </c>
      <c r="D10" s="118">
        <f>ROUND(C10*$B$7,2)</f>
        <v>47607.6</v>
      </c>
      <c r="E10" s="85"/>
      <c r="F10" s="85"/>
      <c r="G10" s="770"/>
      <c r="H10" s="770"/>
      <c r="I10" s="770"/>
      <c r="J10" s="806"/>
    </row>
    <row r="11" spans="1:10">
      <c r="A11" s="104" t="s">
        <v>93</v>
      </c>
      <c r="B11" s="240">
        <v>2.416666666666667</v>
      </c>
      <c r="C11" s="93">
        <f>$B$6*B11</f>
        <v>28762.925000000003</v>
      </c>
      <c r="D11" s="118">
        <f>ROUND(C11*$B$7,2)</f>
        <v>28762.93</v>
      </c>
      <c r="E11" s="85"/>
      <c r="F11" s="85"/>
      <c r="G11" s="770"/>
      <c r="H11" s="770"/>
      <c r="I11" s="770"/>
      <c r="J11" s="806"/>
    </row>
    <row r="12" spans="1:10">
      <c r="A12" s="104" t="s">
        <v>94</v>
      </c>
      <c r="B12" s="240">
        <v>8.4166666666666679</v>
      </c>
      <c r="C12" s="93">
        <f>$B$6*B12</f>
        <v>100174.32500000001</v>
      </c>
      <c r="D12" s="118">
        <f t="shared" ref="D12:D25" si="0">ROUND(C12*$B$7,2)</f>
        <v>100174.33</v>
      </c>
      <c r="E12" s="85"/>
      <c r="F12" s="85"/>
      <c r="G12" s="770"/>
      <c r="H12" s="770"/>
      <c r="I12" s="770"/>
      <c r="J12" s="806"/>
    </row>
    <row r="13" spans="1:10">
      <c r="A13" s="104" t="s">
        <v>95</v>
      </c>
      <c r="B13" s="240">
        <v>3</v>
      </c>
      <c r="C13" s="93">
        <f t="shared" ref="C13:C25" si="1">$B$6*B13</f>
        <v>35705.699999999997</v>
      </c>
      <c r="D13" s="118">
        <f t="shared" si="0"/>
        <v>35705.699999999997</v>
      </c>
      <c r="E13" s="85"/>
      <c r="F13" s="85"/>
      <c r="G13" s="770"/>
      <c r="H13" s="770"/>
      <c r="I13" s="770"/>
      <c r="J13" s="806"/>
    </row>
    <row r="14" spans="1:10">
      <c r="A14" s="104" t="s">
        <v>96</v>
      </c>
      <c r="B14" s="240">
        <v>4.1666666666666661</v>
      </c>
      <c r="C14" s="93">
        <f t="shared" si="1"/>
        <v>49591.249999999993</v>
      </c>
      <c r="D14" s="118">
        <f t="shared" si="0"/>
        <v>49591.25</v>
      </c>
      <c r="E14" s="85"/>
      <c r="F14" s="85"/>
      <c r="G14" s="770"/>
      <c r="H14" s="770"/>
      <c r="I14" s="770"/>
      <c r="J14" s="806"/>
    </row>
    <row r="15" spans="1:10">
      <c r="A15" s="104" t="s">
        <v>97</v>
      </c>
      <c r="B15" s="240">
        <v>6.3333333333333339</v>
      </c>
      <c r="C15" s="93">
        <f t="shared" si="1"/>
        <v>75378.700000000012</v>
      </c>
      <c r="D15" s="118">
        <f t="shared" si="0"/>
        <v>75378.7</v>
      </c>
      <c r="E15" s="85"/>
      <c r="F15" s="85"/>
      <c r="G15" s="770"/>
      <c r="H15" s="770"/>
      <c r="I15" s="770"/>
      <c r="J15" s="806"/>
    </row>
    <row r="16" spans="1:10">
      <c r="A16" s="104" t="s">
        <v>98</v>
      </c>
      <c r="B16" s="240">
        <v>8.6666666666666661</v>
      </c>
      <c r="C16" s="93">
        <f t="shared" si="1"/>
        <v>103149.79999999999</v>
      </c>
      <c r="D16" s="118">
        <f t="shared" si="0"/>
        <v>103149.8</v>
      </c>
      <c r="E16" s="85"/>
      <c r="F16" s="85"/>
      <c r="G16" s="770"/>
      <c r="H16" s="770"/>
      <c r="I16" s="770"/>
      <c r="J16" s="806"/>
    </row>
    <row r="17" spans="1:15">
      <c r="A17" s="104" t="s">
        <v>99</v>
      </c>
      <c r="B17" s="240">
        <v>3.5</v>
      </c>
      <c r="C17" s="93">
        <f t="shared" si="1"/>
        <v>41656.65</v>
      </c>
      <c r="D17" s="118">
        <f t="shared" si="0"/>
        <v>41656.65</v>
      </c>
      <c r="E17" s="85"/>
      <c r="F17" s="85"/>
      <c r="G17" s="770"/>
      <c r="H17" s="770"/>
      <c r="I17" s="770"/>
      <c r="J17" s="806"/>
      <c r="K17" s="770"/>
      <c r="L17" s="770"/>
      <c r="M17" s="770"/>
      <c r="N17" s="770"/>
      <c r="O17" s="770"/>
    </row>
    <row r="18" spans="1:15">
      <c r="A18" s="104" t="s">
        <v>100</v>
      </c>
      <c r="B18" s="240">
        <v>0</v>
      </c>
      <c r="C18" s="93">
        <f t="shared" si="1"/>
        <v>0</v>
      </c>
      <c r="D18" s="118">
        <f t="shared" si="0"/>
        <v>0</v>
      </c>
      <c r="E18" s="85"/>
      <c r="F18" s="85"/>
      <c r="G18" s="770"/>
      <c r="H18" s="770"/>
      <c r="I18" s="770"/>
      <c r="J18" s="806"/>
      <c r="K18" s="770"/>
      <c r="L18" s="770"/>
      <c r="M18" s="770"/>
      <c r="N18" s="770"/>
      <c r="O18" s="770"/>
    </row>
    <row r="19" spans="1:15">
      <c r="A19" s="104" t="s">
        <v>101</v>
      </c>
      <c r="B19" s="240">
        <v>3.166666666666667</v>
      </c>
      <c r="C19" s="93">
        <f t="shared" si="1"/>
        <v>37689.350000000006</v>
      </c>
      <c r="D19" s="118">
        <f t="shared" si="0"/>
        <v>37689.35</v>
      </c>
      <c r="E19" s="85"/>
      <c r="F19" s="85"/>
      <c r="G19" s="770"/>
      <c r="H19" s="770"/>
      <c r="I19" s="770"/>
      <c r="J19" s="806"/>
      <c r="K19" s="770"/>
      <c r="L19" s="770"/>
      <c r="M19" s="770"/>
      <c r="N19" s="770"/>
      <c r="O19" s="770"/>
    </row>
    <row r="20" spans="1:15">
      <c r="A20" s="104" t="s">
        <v>102</v>
      </c>
      <c r="B20" s="240">
        <v>0</v>
      </c>
      <c r="C20" s="93">
        <f t="shared" si="1"/>
        <v>0</v>
      </c>
      <c r="D20" s="118">
        <f t="shared" si="0"/>
        <v>0</v>
      </c>
      <c r="E20" s="85"/>
      <c r="F20" s="85"/>
      <c r="G20" s="770"/>
      <c r="H20" s="770"/>
      <c r="I20" s="770"/>
      <c r="J20" s="806"/>
      <c r="K20" s="770"/>
      <c r="L20" s="770"/>
      <c r="M20" s="770"/>
      <c r="N20" s="770"/>
      <c r="O20" s="770"/>
    </row>
    <row r="21" spans="1:15">
      <c r="A21" s="104" t="s">
        <v>103</v>
      </c>
      <c r="B21" s="240">
        <v>10</v>
      </c>
      <c r="C21" s="93">
        <f t="shared" si="1"/>
        <v>119019</v>
      </c>
      <c r="D21" s="118">
        <f t="shared" si="0"/>
        <v>119019</v>
      </c>
      <c r="E21" s="85"/>
      <c r="F21" s="85"/>
      <c r="G21" s="776"/>
      <c r="H21" s="770"/>
      <c r="I21" s="770"/>
      <c r="J21" s="806"/>
      <c r="K21" s="770"/>
      <c r="L21" s="770"/>
      <c r="M21" s="770"/>
      <c r="N21" s="770"/>
      <c r="O21" s="770"/>
    </row>
    <row r="22" spans="1:15">
      <c r="A22" s="104" t="s">
        <v>104</v>
      </c>
      <c r="B22" s="240">
        <v>0</v>
      </c>
      <c r="C22" s="93">
        <f t="shared" si="1"/>
        <v>0</v>
      </c>
      <c r="D22" s="118">
        <f t="shared" si="0"/>
        <v>0</v>
      </c>
      <c r="E22" s="85"/>
      <c r="F22" s="85"/>
      <c r="G22" s="776"/>
      <c r="H22" s="770"/>
      <c r="I22" s="770"/>
      <c r="J22" s="806"/>
      <c r="K22" s="770"/>
      <c r="L22" s="770"/>
      <c r="M22" s="770"/>
      <c r="N22" s="770"/>
      <c r="O22" s="770"/>
    </row>
    <row r="23" spans="1:15">
      <c r="A23" s="104" t="s">
        <v>105</v>
      </c>
      <c r="B23" s="240">
        <v>1</v>
      </c>
      <c r="C23" s="93">
        <f t="shared" si="1"/>
        <v>11901.9</v>
      </c>
      <c r="D23" s="118">
        <f t="shared" si="0"/>
        <v>11901.9</v>
      </c>
      <c r="E23" s="85"/>
      <c r="F23" s="85"/>
      <c r="G23" s="770"/>
      <c r="H23" s="770"/>
      <c r="I23" s="770"/>
      <c r="J23" s="806"/>
      <c r="K23" s="770"/>
      <c r="L23" s="770"/>
      <c r="M23" s="770"/>
      <c r="N23" s="770"/>
      <c r="O23" s="770"/>
    </row>
    <row r="24" spans="1:15">
      <c r="A24" s="104" t="s">
        <v>106</v>
      </c>
      <c r="B24" s="240">
        <v>2</v>
      </c>
      <c r="C24" s="93">
        <f t="shared" si="1"/>
        <v>23803.8</v>
      </c>
      <c r="D24" s="118">
        <f t="shared" si="0"/>
        <v>23803.8</v>
      </c>
      <c r="E24" s="85"/>
      <c r="F24" s="85"/>
      <c r="G24" s="770"/>
      <c r="H24" s="770"/>
      <c r="I24" s="770"/>
      <c r="J24" s="806"/>
      <c r="K24" s="770"/>
      <c r="L24" s="770"/>
      <c r="M24" s="770"/>
      <c r="N24" s="770"/>
      <c r="O24" s="770"/>
    </row>
    <row r="25" spans="1:15" ht="15.75" thickBot="1">
      <c r="A25" s="103" t="s">
        <v>107</v>
      </c>
      <c r="B25" s="242">
        <v>43.5</v>
      </c>
      <c r="C25" s="94">
        <f t="shared" si="1"/>
        <v>517732.64999999997</v>
      </c>
      <c r="D25" s="120">
        <f t="shared" si="0"/>
        <v>517732.65</v>
      </c>
      <c r="E25" s="85"/>
      <c r="F25" s="85"/>
      <c r="G25" s="776"/>
      <c r="H25" s="770"/>
      <c r="I25" s="770"/>
      <c r="J25" s="770"/>
      <c r="K25" s="770"/>
      <c r="L25" s="770"/>
      <c r="M25" s="770"/>
      <c r="N25" s="770"/>
      <c r="O25" s="85" t="s">
        <v>540</v>
      </c>
    </row>
    <row r="26" spans="1:15" ht="16.5" thickTop="1" thickBot="1">
      <c r="A26" s="104" t="s">
        <v>108</v>
      </c>
      <c r="B26" s="244">
        <v>100.16666666666666</v>
      </c>
      <c r="C26" s="97">
        <f>SUM(C10:C25)</f>
        <v>1192173.6500000001</v>
      </c>
      <c r="D26" s="122">
        <f>SUM(D10:D25)</f>
        <v>1192173.6600000001</v>
      </c>
      <c r="E26" s="770"/>
      <c r="F26" s="85"/>
      <c r="G26" s="770"/>
      <c r="H26" s="770"/>
      <c r="I26" s="770"/>
      <c r="J26" s="770"/>
      <c r="K26" s="770"/>
      <c r="L26" s="770"/>
      <c r="M26" s="770"/>
      <c r="N26" s="770"/>
      <c r="O26" s="101">
        <f>D26-'Skola, STR &amp; Spcfr'!F23</f>
        <v>0</v>
      </c>
    </row>
    <row r="27" spans="1:15" ht="15.75" thickTop="1">
      <c r="A27" s="85"/>
      <c r="B27" s="85"/>
      <c r="C27" s="85"/>
      <c r="D27" s="85"/>
      <c r="E27" s="85"/>
      <c r="F27" s="85"/>
      <c r="G27" s="770"/>
      <c r="H27" s="770"/>
      <c r="I27" s="770"/>
      <c r="J27" s="770"/>
      <c r="K27" s="770"/>
      <c r="L27" s="770"/>
      <c r="M27" s="770"/>
      <c r="N27" s="770"/>
      <c r="O27" s="770"/>
    </row>
    <row r="28" spans="1:15">
      <c r="A28" s="53" t="s">
        <v>541</v>
      </c>
      <c r="B28" s="85"/>
      <c r="C28" s="85"/>
      <c r="D28" s="85"/>
      <c r="E28" s="85"/>
      <c r="F28" s="85"/>
      <c r="G28" s="770"/>
      <c r="H28" s="770"/>
      <c r="I28" s="770"/>
      <c r="J28" s="770"/>
      <c r="K28" s="770"/>
      <c r="L28" s="770"/>
      <c r="M28" s="770"/>
      <c r="N28" s="770"/>
      <c r="O28" s="770"/>
    </row>
    <row r="29" spans="1:15">
      <c r="A29" s="53" t="s">
        <v>542</v>
      </c>
      <c r="B29" s="80">
        <v>45175</v>
      </c>
      <c r="C29" s="85"/>
      <c r="D29" s="85"/>
      <c r="E29" s="85"/>
      <c r="F29" s="85"/>
      <c r="G29" s="770"/>
      <c r="H29" s="770"/>
      <c r="I29" s="770"/>
      <c r="J29" s="770"/>
      <c r="K29" s="770"/>
      <c r="L29" s="770"/>
      <c r="M29" s="770"/>
      <c r="N29" s="770"/>
      <c r="O29" s="770"/>
    </row>
    <row r="30" spans="1:15">
      <c r="A30" s="85"/>
      <c r="B30" s="85"/>
      <c r="C30" s="85"/>
      <c r="D30" s="85"/>
      <c r="E30" s="85"/>
      <c r="F30" s="85"/>
      <c r="G30" s="770"/>
      <c r="H30" s="770"/>
      <c r="I30" s="770"/>
      <c r="J30" s="770"/>
      <c r="K30" s="770"/>
      <c r="L30" s="770"/>
      <c r="M30" s="770"/>
      <c r="N30" s="770"/>
      <c r="O30" s="770"/>
    </row>
    <row r="32" spans="1:15">
      <c r="A32" s="770"/>
      <c r="B32" s="770"/>
      <c r="C32" s="373"/>
      <c r="D32" s="770"/>
      <c r="E32" s="770"/>
      <c r="F32" s="770"/>
      <c r="G32" s="770"/>
      <c r="H32" s="770"/>
      <c r="I32" s="770"/>
      <c r="J32" s="770"/>
      <c r="K32" s="770"/>
      <c r="L32" s="770"/>
      <c r="M32" s="770"/>
      <c r="N32" s="770"/>
      <c r="O32" s="770"/>
    </row>
    <row r="36" spans="5:5" ht="15.75">
      <c r="E36" s="390"/>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J38"/>
  <sheetViews>
    <sheetView topLeftCell="A7" zoomScaleNormal="100" workbookViewId="0">
      <selection activeCell="D10" sqref="D10:D25"/>
    </sheetView>
  </sheetViews>
  <sheetFormatPr defaultColWidth="8.77734375" defaultRowHeight="15"/>
  <cols>
    <col min="1" max="1" width="14.6640625" style="5" customWidth="1"/>
    <col min="2" max="2" width="10.77734375" style="5" customWidth="1"/>
    <col min="3" max="3" width="10" style="5" customWidth="1"/>
    <col min="4" max="4" width="9.6640625" style="5" customWidth="1"/>
    <col min="5" max="5" width="11.109375" style="5" bestFit="1" customWidth="1"/>
    <col min="6" max="6" width="8.77734375" style="5"/>
    <col min="7" max="8" width="9.88671875" style="5" bestFit="1" customWidth="1"/>
    <col min="9" max="16384" width="8.77734375" style="5"/>
  </cols>
  <sheetData>
    <row r="1" spans="1:8" ht="15.75">
      <c r="A1" s="11" t="s">
        <v>546</v>
      </c>
      <c r="B1" s="770"/>
      <c r="C1" s="770"/>
      <c r="D1" s="770"/>
      <c r="E1" s="770"/>
      <c r="F1" s="770"/>
      <c r="G1" s="770"/>
      <c r="H1" s="770"/>
    </row>
    <row r="2" spans="1:8">
      <c r="A2" s="770" t="s">
        <v>536</v>
      </c>
      <c r="B2" s="770"/>
      <c r="C2" s="770"/>
      <c r="D2" s="770"/>
      <c r="E2" s="770"/>
      <c r="F2" s="770"/>
      <c r="G2" s="770"/>
      <c r="H2" s="770"/>
    </row>
    <row r="4" spans="1:8">
      <c r="A4" s="53" t="s">
        <v>544</v>
      </c>
      <c r="B4" s="85"/>
      <c r="C4" s="85"/>
      <c r="D4" s="85"/>
      <c r="E4" s="85"/>
      <c r="F4" s="85"/>
      <c r="G4" s="770"/>
      <c r="H4" s="770"/>
    </row>
    <row r="5" spans="1:8">
      <c r="A5" s="85"/>
      <c r="B5" s="85"/>
      <c r="C5" s="85"/>
      <c r="D5" s="85"/>
      <c r="E5" s="85"/>
      <c r="F5" s="85"/>
      <c r="G5" s="770"/>
      <c r="H5" s="770"/>
    </row>
    <row r="6" spans="1:8" ht="16.149999999999999" customHeight="1">
      <c r="A6" s="104" t="s">
        <v>538</v>
      </c>
      <c r="B6" s="183">
        <f>Basbelopp!Y82</f>
        <v>13432.24</v>
      </c>
      <c r="C6" s="85"/>
      <c r="D6" s="770"/>
      <c r="E6" s="85"/>
      <c r="F6" s="85"/>
      <c r="G6" s="770"/>
      <c r="H6" s="770"/>
    </row>
    <row r="7" spans="1:8">
      <c r="A7" s="104" t="s">
        <v>533</v>
      </c>
      <c r="B7" s="239">
        <v>1</v>
      </c>
      <c r="C7" s="85"/>
      <c r="D7" s="85"/>
      <c r="E7" s="85"/>
      <c r="F7" s="85"/>
      <c r="G7" s="770"/>
      <c r="H7" s="770"/>
    </row>
    <row r="8" spans="1:8">
      <c r="A8" s="85"/>
      <c r="B8" s="239"/>
      <c r="C8" s="85"/>
      <c r="D8" s="85"/>
      <c r="E8" s="85"/>
      <c r="F8" s="85"/>
      <c r="G8" s="770"/>
      <c r="H8" s="770"/>
    </row>
    <row r="9" spans="1:8">
      <c r="A9" s="105"/>
      <c r="B9" s="103" t="s">
        <v>531</v>
      </c>
      <c r="C9" s="103" t="s">
        <v>532</v>
      </c>
      <c r="D9" s="201" t="s">
        <v>545</v>
      </c>
      <c r="E9" s="85"/>
      <c r="F9" s="770"/>
      <c r="G9" s="770"/>
      <c r="H9" s="770"/>
    </row>
    <row r="10" spans="1:8">
      <c r="A10" s="104" t="s">
        <v>92</v>
      </c>
      <c r="B10" s="240">
        <v>0</v>
      </c>
      <c r="C10" s="93">
        <f>$B$6*B10</f>
        <v>0</v>
      </c>
      <c r="D10" s="118">
        <f>ROUND(C10*$B$7,2)</f>
        <v>0</v>
      </c>
      <c r="E10" s="85"/>
      <c r="F10" s="770"/>
      <c r="G10" s="770"/>
      <c r="H10" s="806"/>
    </row>
    <row r="11" spans="1:8">
      <c r="A11" s="104" t="s">
        <v>93</v>
      </c>
      <c r="B11" s="240">
        <v>0</v>
      </c>
      <c r="C11" s="93">
        <f>$B$6*B11</f>
        <v>0</v>
      </c>
      <c r="D11" s="118">
        <f>ROUND(C11*$B$7,2)</f>
        <v>0</v>
      </c>
      <c r="E11" s="85"/>
      <c r="F11" s="770"/>
      <c r="G11" s="770"/>
      <c r="H11" s="806"/>
    </row>
    <row r="12" spans="1:8">
      <c r="A12" s="104" t="s">
        <v>94</v>
      </c>
      <c r="B12" s="240">
        <v>1.4166666666666667</v>
      </c>
      <c r="C12" s="93">
        <f>$B$6*B12</f>
        <v>19029.006666666668</v>
      </c>
      <c r="D12" s="118">
        <f t="shared" ref="D12:D25" si="0">ROUND(C12*$B$7,2)</f>
        <v>19029.009999999998</v>
      </c>
      <c r="E12" s="85"/>
      <c r="F12" s="501"/>
      <c r="G12" s="770"/>
      <c r="H12" s="806"/>
    </row>
    <row r="13" spans="1:8">
      <c r="A13" s="104" t="s">
        <v>95</v>
      </c>
      <c r="B13" s="240">
        <v>0</v>
      </c>
      <c r="C13" s="93">
        <f t="shared" ref="C13:C25" si="1">$B$6*B13</f>
        <v>0</v>
      </c>
      <c r="D13" s="118">
        <f t="shared" si="0"/>
        <v>0</v>
      </c>
      <c r="E13" s="85"/>
      <c r="F13" s="770"/>
      <c r="G13" s="770"/>
      <c r="H13" s="806"/>
    </row>
    <row r="14" spans="1:8">
      <c r="A14" s="104" t="s">
        <v>96</v>
      </c>
      <c r="B14" s="240">
        <v>0</v>
      </c>
      <c r="C14" s="93">
        <f t="shared" si="1"/>
        <v>0</v>
      </c>
      <c r="D14" s="118">
        <f t="shared" si="0"/>
        <v>0</v>
      </c>
      <c r="E14" s="85"/>
      <c r="F14" s="770"/>
      <c r="G14" s="770"/>
      <c r="H14" s="806"/>
    </row>
    <row r="15" spans="1:8">
      <c r="A15" s="104" t="s">
        <v>97</v>
      </c>
      <c r="B15" s="240">
        <v>0</v>
      </c>
      <c r="C15" s="93">
        <f t="shared" si="1"/>
        <v>0</v>
      </c>
      <c r="D15" s="118">
        <f t="shared" si="0"/>
        <v>0</v>
      </c>
      <c r="E15" s="85"/>
      <c r="F15" s="770"/>
      <c r="G15" s="770"/>
      <c r="H15" s="806"/>
    </row>
    <row r="16" spans="1:8">
      <c r="A16" s="104" t="s">
        <v>98</v>
      </c>
      <c r="B16" s="240">
        <v>0</v>
      </c>
      <c r="C16" s="93">
        <f t="shared" si="1"/>
        <v>0</v>
      </c>
      <c r="D16" s="118">
        <f t="shared" si="0"/>
        <v>0</v>
      </c>
      <c r="E16" s="85"/>
      <c r="F16" s="770"/>
      <c r="G16" s="770"/>
      <c r="H16" s="806"/>
    </row>
    <row r="17" spans="1:10">
      <c r="A17" s="104" t="s">
        <v>99</v>
      </c>
      <c r="B17" s="240">
        <v>2</v>
      </c>
      <c r="C17" s="93">
        <f t="shared" si="1"/>
        <v>26864.48</v>
      </c>
      <c r="D17" s="118">
        <f t="shared" si="0"/>
        <v>26864.48</v>
      </c>
      <c r="E17" s="85"/>
      <c r="F17" s="770"/>
      <c r="G17" s="770"/>
      <c r="H17" s="806"/>
      <c r="I17" s="770"/>
      <c r="J17" s="770"/>
    </row>
    <row r="18" spans="1:10">
      <c r="A18" s="104" t="s">
        <v>100</v>
      </c>
      <c r="B18" s="240">
        <v>0</v>
      </c>
      <c r="C18" s="93">
        <f t="shared" si="1"/>
        <v>0</v>
      </c>
      <c r="D18" s="118">
        <f t="shared" si="0"/>
        <v>0</v>
      </c>
      <c r="E18" s="85"/>
      <c r="F18" s="770"/>
      <c r="G18" s="770"/>
      <c r="H18" s="806"/>
      <c r="I18" s="770"/>
      <c r="J18" s="770"/>
    </row>
    <row r="19" spans="1:10">
      <c r="A19" s="104" t="s">
        <v>101</v>
      </c>
      <c r="B19" s="240">
        <v>0</v>
      </c>
      <c r="C19" s="93">
        <f t="shared" si="1"/>
        <v>0</v>
      </c>
      <c r="D19" s="118">
        <f t="shared" si="0"/>
        <v>0</v>
      </c>
      <c r="E19" s="85"/>
      <c r="F19" s="770"/>
      <c r="G19" s="770"/>
      <c r="H19" s="806"/>
      <c r="I19" s="770"/>
      <c r="J19" s="770"/>
    </row>
    <row r="20" spans="1:10">
      <c r="A20" s="104" t="s">
        <v>102</v>
      </c>
      <c r="B20" s="240">
        <v>0</v>
      </c>
      <c r="C20" s="93">
        <f t="shared" si="1"/>
        <v>0</v>
      </c>
      <c r="D20" s="118">
        <f t="shared" si="0"/>
        <v>0</v>
      </c>
      <c r="E20" s="85"/>
      <c r="F20" s="770"/>
      <c r="G20" s="770"/>
      <c r="H20" s="806"/>
      <c r="I20" s="770"/>
      <c r="J20" s="770"/>
    </row>
    <row r="21" spans="1:10">
      <c r="A21" s="104" t="s">
        <v>103</v>
      </c>
      <c r="B21" s="240">
        <v>0</v>
      </c>
      <c r="C21" s="93">
        <f t="shared" si="1"/>
        <v>0</v>
      </c>
      <c r="D21" s="118">
        <f t="shared" si="0"/>
        <v>0</v>
      </c>
      <c r="E21" s="85"/>
      <c r="F21" s="770"/>
      <c r="G21" s="770"/>
      <c r="H21" s="806"/>
      <c r="I21" s="770"/>
      <c r="J21" s="770"/>
    </row>
    <row r="22" spans="1:10">
      <c r="A22" s="104" t="s">
        <v>104</v>
      </c>
      <c r="B22" s="240">
        <v>0</v>
      </c>
      <c r="C22" s="93">
        <f t="shared" si="1"/>
        <v>0</v>
      </c>
      <c r="D22" s="118">
        <f t="shared" si="0"/>
        <v>0</v>
      </c>
      <c r="E22" s="85"/>
      <c r="F22" s="770"/>
      <c r="G22" s="770"/>
      <c r="H22" s="806"/>
      <c r="I22" s="770"/>
      <c r="J22" s="770"/>
    </row>
    <row r="23" spans="1:10">
      <c r="A23" s="104" t="s">
        <v>105</v>
      </c>
      <c r="B23" s="240">
        <v>0</v>
      </c>
      <c r="C23" s="93">
        <f t="shared" si="1"/>
        <v>0</v>
      </c>
      <c r="D23" s="118">
        <f t="shared" si="0"/>
        <v>0</v>
      </c>
      <c r="E23" s="85"/>
      <c r="F23" s="770"/>
      <c r="G23" s="770"/>
      <c r="H23" s="806"/>
      <c r="I23" s="770"/>
      <c r="J23" s="770"/>
    </row>
    <row r="24" spans="1:10">
      <c r="A24" s="104" t="s">
        <v>106</v>
      </c>
      <c r="B24" s="240">
        <v>0</v>
      </c>
      <c r="C24" s="93">
        <f t="shared" si="1"/>
        <v>0</v>
      </c>
      <c r="D24" s="118">
        <f t="shared" si="0"/>
        <v>0</v>
      </c>
      <c r="E24" s="85"/>
      <c r="F24" s="770"/>
      <c r="G24" s="770"/>
      <c r="H24" s="806"/>
      <c r="I24" s="770"/>
      <c r="J24" s="770"/>
    </row>
    <row r="25" spans="1:10" ht="15.75" thickBot="1">
      <c r="A25" s="103" t="s">
        <v>107</v>
      </c>
      <c r="B25" s="242">
        <v>4.8333333333333339</v>
      </c>
      <c r="C25" s="94">
        <f t="shared" si="1"/>
        <v>64922.493333333339</v>
      </c>
      <c r="D25" s="120">
        <f t="shared" si="0"/>
        <v>64922.49</v>
      </c>
      <c r="E25" s="85"/>
      <c r="F25" s="770"/>
      <c r="G25" s="770"/>
      <c r="H25" s="770"/>
      <c r="I25" s="770"/>
      <c r="J25" s="85" t="s">
        <v>540</v>
      </c>
    </row>
    <row r="26" spans="1:10" ht="16.5" thickTop="1" thickBot="1">
      <c r="A26" s="104" t="s">
        <v>108</v>
      </c>
      <c r="B26" s="244">
        <v>8.25</v>
      </c>
      <c r="C26" s="97">
        <f>SUM(C10:C25)</f>
        <v>110815.98000000001</v>
      </c>
      <c r="D26" s="122">
        <f>SUM(D10:D25)</f>
        <v>110815.98</v>
      </c>
      <c r="E26" s="770"/>
      <c r="F26" s="770"/>
      <c r="G26" s="770"/>
      <c r="H26" s="770"/>
      <c r="I26" s="770"/>
      <c r="J26" s="101">
        <f>D26-'Skola, STR &amp; Spcfr'!E23</f>
        <v>0</v>
      </c>
    </row>
    <row r="27" spans="1:10" ht="15.75" thickTop="1">
      <c r="A27" s="85"/>
      <c r="B27" s="85"/>
      <c r="C27" s="85"/>
      <c r="D27" s="85"/>
      <c r="E27" s="85"/>
      <c r="F27" s="770"/>
      <c r="G27" s="770"/>
      <c r="H27" s="770"/>
      <c r="I27" s="770"/>
      <c r="J27" s="770"/>
    </row>
    <row r="28" spans="1:10">
      <c r="A28" s="53" t="s">
        <v>541</v>
      </c>
      <c r="B28" s="85"/>
      <c r="C28" s="85"/>
      <c r="D28" s="85"/>
      <c r="E28" s="85"/>
      <c r="F28" s="770"/>
      <c r="G28" s="770"/>
      <c r="H28" s="770"/>
      <c r="I28" s="770"/>
      <c r="J28" s="770"/>
    </row>
    <row r="29" spans="1:10">
      <c r="A29" s="53" t="s">
        <v>542</v>
      </c>
      <c r="B29" s="80">
        <v>45175</v>
      </c>
      <c r="C29" s="85"/>
      <c r="D29" s="85"/>
      <c r="E29" s="85"/>
      <c r="F29" s="85"/>
      <c r="G29" s="770"/>
      <c r="H29" s="770"/>
      <c r="I29" s="770"/>
      <c r="J29" s="770"/>
    </row>
    <row r="30" spans="1:10">
      <c r="A30" s="85"/>
      <c r="B30" s="85"/>
      <c r="C30" s="85"/>
      <c r="D30" s="85"/>
      <c r="E30" s="85"/>
      <c r="F30" s="85"/>
      <c r="G30" s="770"/>
      <c r="H30" s="770"/>
      <c r="I30" s="770"/>
      <c r="J30" s="770"/>
    </row>
    <row r="32" spans="1:10">
      <c r="A32" s="770"/>
      <c r="B32" s="770"/>
      <c r="C32" s="373"/>
      <c r="D32" s="770"/>
      <c r="E32" s="770"/>
      <c r="F32" s="770"/>
      <c r="G32" s="770"/>
      <c r="H32" s="770"/>
      <c r="I32" s="770"/>
      <c r="J32" s="770"/>
    </row>
    <row r="38" spans="6:6" ht="15.75">
      <c r="F38" s="390"/>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J36"/>
  <sheetViews>
    <sheetView topLeftCell="A8" zoomScaleNormal="100" workbookViewId="0">
      <selection activeCell="F22" sqref="F22"/>
    </sheetView>
  </sheetViews>
  <sheetFormatPr defaultColWidth="8.77734375" defaultRowHeight="15"/>
  <cols>
    <col min="1" max="1" width="14.6640625" style="5" customWidth="1"/>
    <col min="2" max="2" width="10.77734375" style="5" customWidth="1"/>
    <col min="3" max="3" width="10" style="5" customWidth="1"/>
    <col min="4" max="4" width="9.6640625" style="5" customWidth="1"/>
    <col min="5" max="5" width="11.109375" style="5" bestFit="1" customWidth="1"/>
    <col min="6" max="6" width="8.77734375" style="5"/>
    <col min="7" max="8" width="9.88671875" style="5" bestFit="1" customWidth="1"/>
    <col min="9" max="16384" width="8.77734375" style="5"/>
  </cols>
  <sheetData>
    <row r="1" spans="1:6" ht="15.75">
      <c r="A1" s="11" t="s">
        <v>547</v>
      </c>
      <c r="B1" s="770"/>
      <c r="C1" s="770"/>
      <c r="D1" s="770"/>
      <c r="E1" s="770"/>
      <c r="F1" s="770"/>
    </row>
    <row r="2" spans="1:6">
      <c r="A2" s="770" t="s">
        <v>536</v>
      </c>
      <c r="B2" s="770"/>
      <c r="C2" s="770"/>
      <c r="D2" s="770"/>
      <c r="E2" s="770"/>
      <c r="F2" s="770"/>
    </row>
    <row r="4" spans="1:6">
      <c r="A4" s="53" t="s">
        <v>548</v>
      </c>
      <c r="B4" s="85"/>
      <c r="C4" s="85"/>
      <c r="D4" s="85"/>
      <c r="E4" s="85"/>
      <c r="F4" s="85"/>
    </row>
    <row r="5" spans="1:6">
      <c r="A5" s="85"/>
      <c r="B5" s="85"/>
      <c r="C5" s="85"/>
      <c r="D5" s="85"/>
      <c r="E5" s="85"/>
      <c r="F5" s="85"/>
    </row>
    <row r="6" spans="1:6" ht="16.149999999999999" customHeight="1">
      <c r="A6" s="104" t="s">
        <v>538</v>
      </c>
      <c r="B6" s="183">
        <f>Basbelopp!Y80</f>
        <v>11384.94</v>
      </c>
      <c r="C6" s="85"/>
      <c r="D6" s="770"/>
      <c r="E6" s="85"/>
      <c r="F6" s="85"/>
    </row>
    <row r="7" spans="1:6">
      <c r="A7" s="104" t="s">
        <v>533</v>
      </c>
      <c r="B7" s="239">
        <v>1</v>
      </c>
      <c r="C7" s="85"/>
      <c r="D7" s="85"/>
      <c r="E7" s="85"/>
      <c r="F7" s="85"/>
    </row>
    <row r="8" spans="1:6">
      <c r="A8" s="85"/>
      <c r="B8" s="239"/>
      <c r="C8" s="85"/>
      <c r="D8" s="85"/>
      <c r="E8" s="85"/>
      <c r="F8" s="85"/>
    </row>
    <row r="9" spans="1:6">
      <c r="A9" s="105"/>
      <c r="B9" s="103" t="s">
        <v>531</v>
      </c>
      <c r="C9" s="103" t="s">
        <v>532</v>
      </c>
      <c r="D9" s="201" t="s">
        <v>545</v>
      </c>
      <c r="E9" s="85"/>
      <c r="F9" s="85"/>
    </row>
    <row r="10" spans="1:6">
      <c r="A10" s="104" t="s">
        <v>92</v>
      </c>
      <c r="B10" s="240">
        <v>0</v>
      </c>
      <c r="C10" s="93">
        <f>$B$6*B10</f>
        <v>0</v>
      </c>
      <c r="D10" s="118">
        <f>ROUND(C10*$B$7,2)</f>
        <v>0</v>
      </c>
      <c r="E10" s="85"/>
      <c r="F10" s="85"/>
    </row>
    <row r="11" spans="1:6">
      <c r="A11" s="104" t="s">
        <v>93</v>
      </c>
      <c r="B11" s="240">
        <v>1</v>
      </c>
      <c r="C11" s="93">
        <f>$B$6*B11</f>
        <v>11384.94</v>
      </c>
      <c r="D11" s="118">
        <f>ROUND(C11*$B$7,2)</f>
        <v>11384.94</v>
      </c>
      <c r="E11" s="85"/>
      <c r="F11" s="85"/>
    </row>
    <row r="12" spans="1:6">
      <c r="A12" s="104" t="s">
        <v>94</v>
      </c>
      <c r="B12" s="240">
        <v>0.83333333333333337</v>
      </c>
      <c r="C12" s="93">
        <f>$B$6*B12</f>
        <v>9487.4500000000007</v>
      </c>
      <c r="D12" s="118">
        <f t="shared" ref="D12:D25" si="0">ROUND(C12*$B$7,2)</f>
        <v>9487.4500000000007</v>
      </c>
      <c r="E12" s="85"/>
      <c r="F12" s="85"/>
    </row>
    <row r="13" spans="1:6">
      <c r="A13" s="104" t="s">
        <v>95</v>
      </c>
      <c r="B13" s="240">
        <v>0</v>
      </c>
      <c r="C13" s="93">
        <f t="shared" ref="C13:C25" si="1">$B$6*B13</f>
        <v>0</v>
      </c>
      <c r="D13" s="118">
        <f t="shared" si="0"/>
        <v>0</v>
      </c>
      <c r="E13" s="85"/>
      <c r="F13" s="85"/>
    </row>
    <row r="14" spans="1:6">
      <c r="A14" s="104" t="s">
        <v>96</v>
      </c>
      <c r="B14" s="240">
        <v>0</v>
      </c>
      <c r="C14" s="93">
        <f t="shared" si="1"/>
        <v>0</v>
      </c>
      <c r="D14" s="118">
        <f t="shared" si="0"/>
        <v>0</v>
      </c>
      <c r="E14" s="85"/>
      <c r="F14" s="85"/>
    </row>
    <row r="15" spans="1:6">
      <c r="A15" s="104" t="s">
        <v>97</v>
      </c>
      <c r="B15" s="240">
        <v>0</v>
      </c>
      <c r="C15" s="93">
        <f t="shared" si="1"/>
        <v>0</v>
      </c>
      <c r="D15" s="118">
        <f t="shared" si="0"/>
        <v>0</v>
      </c>
      <c r="E15" s="85"/>
      <c r="F15" s="85"/>
    </row>
    <row r="16" spans="1:6">
      <c r="A16" s="104" t="s">
        <v>98</v>
      </c>
      <c r="B16" s="240">
        <v>9.5833333333333321</v>
      </c>
      <c r="C16" s="93">
        <f t="shared" si="1"/>
        <v>109105.67499999999</v>
      </c>
      <c r="D16" s="118">
        <f t="shared" si="0"/>
        <v>109105.68</v>
      </c>
      <c r="E16" s="85"/>
      <c r="F16" s="85"/>
    </row>
    <row r="17" spans="1:10">
      <c r="A17" s="104" t="s">
        <v>99</v>
      </c>
      <c r="B17" s="240">
        <v>0</v>
      </c>
      <c r="C17" s="93">
        <f t="shared" si="1"/>
        <v>0</v>
      </c>
      <c r="D17" s="118">
        <f t="shared" si="0"/>
        <v>0</v>
      </c>
      <c r="E17" s="85"/>
      <c r="F17" s="85"/>
      <c r="G17" s="770"/>
      <c r="H17" s="770"/>
      <c r="I17" s="770"/>
      <c r="J17" s="770"/>
    </row>
    <row r="18" spans="1:10">
      <c r="A18" s="104" t="s">
        <v>100</v>
      </c>
      <c r="B18" s="240">
        <v>0</v>
      </c>
      <c r="C18" s="93">
        <f t="shared" si="1"/>
        <v>0</v>
      </c>
      <c r="D18" s="118">
        <f t="shared" si="0"/>
        <v>0</v>
      </c>
      <c r="E18" s="85"/>
      <c r="F18" s="85"/>
      <c r="G18" s="770"/>
      <c r="H18" s="770"/>
      <c r="I18" s="770"/>
      <c r="J18" s="770"/>
    </row>
    <row r="19" spans="1:10">
      <c r="A19" s="104" t="s">
        <v>101</v>
      </c>
      <c r="B19" s="240">
        <v>1.5833333333333335</v>
      </c>
      <c r="C19" s="93">
        <f t="shared" si="1"/>
        <v>18026.155000000002</v>
      </c>
      <c r="D19" s="118">
        <f t="shared" si="0"/>
        <v>18026.16</v>
      </c>
      <c r="E19" s="85"/>
      <c r="F19" s="85"/>
      <c r="G19" s="770"/>
      <c r="H19" s="770"/>
      <c r="I19" s="770"/>
      <c r="J19" s="770"/>
    </row>
    <row r="20" spans="1:10">
      <c r="A20" s="104" t="s">
        <v>102</v>
      </c>
      <c r="B20" s="240">
        <v>0</v>
      </c>
      <c r="C20" s="93">
        <f t="shared" si="1"/>
        <v>0</v>
      </c>
      <c r="D20" s="118">
        <f t="shared" si="0"/>
        <v>0</v>
      </c>
      <c r="E20" s="85"/>
      <c r="F20" s="85"/>
      <c r="G20" s="770"/>
      <c r="H20" s="770"/>
      <c r="I20" s="770"/>
      <c r="J20" s="770"/>
    </row>
    <row r="21" spans="1:10">
      <c r="A21" s="104" t="s">
        <v>103</v>
      </c>
      <c r="B21" s="240">
        <v>3</v>
      </c>
      <c r="C21" s="93">
        <f t="shared" si="1"/>
        <v>34154.82</v>
      </c>
      <c r="D21" s="118">
        <f t="shared" si="0"/>
        <v>34154.82</v>
      </c>
      <c r="E21" s="85"/>
      <c r="F21" s="85"/>
      <c r="G21" s="776"/>
      <c r="H21" s="806"/>
      <c r="I21" s="770"/>
      <c r="J21" s="770"/>
    </row>
    <row r="22" spans="1:10">
      <c r="A22" s="104" t="s">
        <v>104</v>
      </c>
      <c r="B22" s="240">
        <v>0</v>
      </c>
      <c r="C22" s="93">
        <f t="shared" si="1"/>
        <v>0</v>
      </c>
      <c r="D22" s="118">
        <f t="shared" si="0"/>
        <v>0</v>
      </c>
      <c r="E22" s="85"/>
      <c r="F22" s="85"/>
      <c r="G22" s="776"/>
      <c r="H22" s="770"/>
      <c r="I22" s="770"/>
      <c r="J22" s="770"/>
    </row>
    <row r="23" spans="1:10">
      <c r="A23" s="104" t="s">
        <v>105</v>
      </c>
      <c r="B23" s="240">
        <v>1.4166666666666667</v>
      </c>
      <c r="C23" s="93">
        <f t="shared" si="1"/>
        <v>16128.665000000001</v>
      </c>
      <c r="D23" s="118">
        <f t="shared" si="0"/>
        <v>16128.67</v>
      </c>
      <c r="E23" s="85"/>
      <c r="F23" s="85"/>
      <c r="G23" s="770"/>
      <c r="H23" s="770"/>
      <c r="I23" s="770"/>
      <c r="J23" s="770"/>
    </row>
    <row r="24" spans="1:10">
      <c r="A24" s="104" t="s">
        <v>106</v>
      </c>
      <c r="B24" s="240">
        <v>0.58333333333333337</v>
      </c>
      <c r="C24" s="93">
        <f t="shared" si="1"/>
        <v>6641.2150000000011</v>
      </c>
      <c r="D24" s="118">
        <f t="shared" si="0"/>
        <v>6641.22</v>
      </c>
      <c r="E24" s="85"/>
      <c r="F24" s="85"/>
      <c r="G24" s="770"/>
      <c r="H24" s="770"/>
      <c r="I24" s="770"/>
      <c r="J24" s="770"/>
    </row>
    <row r="25" spans="1:10" ht="15.75" thickBot="1">
      <c r="A25" s="103" t="s">
        <v>107</v>
      </c>
      <c r="B25" s="242">
        <v>3.5833333333333335</v>
      </c>
      <c r="C25" s="94">
        <f t="shared" si="1"/>
        <v>40796.035000000003</v>
      </c>
      <c r="D25" s="120">
        <f t="shared" si="0"/>
        <v>40796.04</v>
      </c>
      <c r="E25" s="85"/>
      <c r="F25" s="85"/>
      <c r="G25" s="776"/>
      <c r="H25" s="770"/>
      <c r="I25" s="770"/>
      <c r="J25" s="85" t="s">
        <v>540</v>
      </c>
    </row>
    <row r="26" spans="1:10" ht="16.5" thickTop="1" thickBot="1">
      <c r="A26" s="104" t="s">
        <v>108</v>
      </c>
      <c r="B26" s="244">
        <v>21.583333333333336</v>
      </c>
      <c r="C26" s="97">
        <f>SUM(C10:C25)</f>
        <v>245724.95500000002</v>
      </c>
      <c r="D26" s="122">
        <f>SUM(D10:D25)</f>
        <v>245724.98</v>
      </c>
      <c r="E26" s="770"/>
      <c r="F26" s="85"/>
      <c r="G26" s="770"/>
      <c r="H26" s="770"/>
      <c r="I26" s="770"/>
      <c r="J26" s="101">
        <f>D26-'Skola, STR &amp; Spcfr'!D23</f>
        <v>0</v>
      </c>
    </row>
    <row r="27" spans="1:10" ht="15.75" thickTop="1">
      <c r="A27" s="85"/>
      <c r="B27" s="85"/>
      <c r="C27" s="85"/>
      <c r="D27" s="85"/>
      <c r="E27" s="85"/>
      <c r="F27" s="85"/>
      <c r="G27" s="770"/>
      <c r="H27" s="770"/>
      <c r="I27" s="770"/>
      <c r="J27" s="770"/>
    </row>
    <row r="28" spans="1:10">
      <c r="A28" s="53" t="s">
        <v>541</v>
      </c>
      <c r="B28" s="85"/>
      <c r="C28" s="85"/>
      <c r="D28" s="85"/>
      <c r="E28" s="85"/>
      <c r="F28" s="85"/>
      <c r="G28" s="770"/>
      <c r="H28" s="770"/>
      <c r="I28" s="770"/>
      <c r="J28" s="770"/>
    </row>
    <row r="29" spans="1:10">
      <c r="A29" s="53" t="s">
        <v>542</v>
      </c>
      <c r="B29" s="80">
        <v>45175</v>
      </c>
      <c r="C29" s="85"/>
      <c r="D29" s="85"/>
      <c r="E29" s="85"/>
      <c r="F29" s="85"/>
      <c r="G29" s="770"/>
      <c r="H29" s="770"/>
      <c r="I29" s="770"/>
      <c r="J29" s="770"/>
    </row>
    <row r="30" spans="1:10">
      <c r="A30" s="85"/>
      <c r="B30" s="85"/>
      <c r="C30" s="85"/>
      <c r="D30" s="85"/>
      <c r="E30" s="85"/>
      <c r="F30" s="85"/>
      <c r="G30" s="770"/>
      <c r="H30" s="770"/>
      <c r="I30" s="770"/>
      <c r="J30" s="770"/>
    </row>
    <row r="32" spans="1:10">
      <c r="A32" s="770"/>
      <c r="B32" s="770"/>
      <c r="C32" s="373"/>
      <c r="D32" s="770"/>
      <c r="E32" s="770"/>
      <c r="F32" s="770"/>
      <c r="G32" s="770"/>
      <c r="H32" s="770"/>
      <c r="I32" s="770"/>
      <c r="J32" s="770"/>
    </row>
    <row r="36" spans="6:6" ht="15.75">
      <c r="F36" s="390"/>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H24"/>
  <sheetViews>
    <sheetView topLeftCell="A6" zoomScaleNormal="100" workbookViewId="0">
      <selection activeCell="B19" sqref="B19"/>
    </sheetView>
  </sheetViews>
  <sheetFormatPr defaultRowHeight="15"/>
  <cols>
    <col min="1" max="1" width="9.77734375" bestFit="1" customWidth="1"/>
    <col min="2" max="2" width="10.88671875" customWidth="1"/>
    <col min="3" max="3" width="12" customWidth="1"/>
    <col min="4" max="4" width="12.44140625" bestFit="1" customWidth="1"/>
    <col min="5" max="5" width="13.6640625" customWidth="1"/>
  </cols>
  <sheetData>
    <row r="1" spans="1:8" ht="15.75">
      <c r="A1" s="11" t="s">
        <v>549</v>
      </c>
    </row>
    <row r="2" spans="1:8" ht="15.75">
      <c r="A2" s="11"/>
    </row>
    <row r="3" spans="1:8">
      <c r="A3" s="246">
        <v>2024</v>
      </c>
      <c r="E3" s="246"/>
    </row>
    <row r="4" spans="1:8">
      <c r="A4" s="85"/>
      <c r="B4" s="85"/>
      <c r="C4" s="85"/>
      <c r="D4" s="85"/>
      <c r="E4" s="85"/>
      <c r="F4" s="85"/>
      <c r="G4" s="85"/>
      <c r="H4" s="85"/>
    </row>
    <row r="5" spans="1:8">
      <c r="A5" s="105"/>
      <c r="B5" s="201" t="s">
        <v>122</v>
      </c>
      <c r="C5" s="103"/>
      <c r="D5" s="103"/>
      <c r="E5" s="201"/>
      <c r="F5" s="85"/>
      <c r="G5" s="85"/>
      <c r="H5" s="85"/>
    </row>
    <row r="6" spans="1:8">
      <c r="A6" s="149" t="s">
        <v>92</v>
      </c>
      <c r="B6" s="241">
        <f>'Socvård+barnomsorg data'!I43</f>
        <v>57408.4908</v>
      </c>
      <c r="C6" s="93"/>
      <c r="D6" s="93"/>
      <c r="E6" s="241"/>
      <c r="F6" s="85"/>
      <c r="G6" s="85"/>
      <c r="H6" s="85"/>
    </row>
    <row r="7" spans="1:8">
      <c r="A7" s="149" t="s">
        <v>93</v>
      </c>
      <c r="B7" s="241">
        <f>'Socvård+barnomsorg data'!I44</f>
        <v>121509.41040000001</v>
      </c>
      <c r="C7" s="93"/>
      <c r="D7" s="93"/>
      <c r="E7" s="241"/>
      <c r="F7" s="85"/>
      <c r="G7" s="85"/>
      <c r="H7" s="85"/>
    </row>
    <row r="8" spans="1:8">
      <c r="A8" s="149" t="s">
        <v>94</v>
      </c>
      <c r="B8" s="241">
        <f>'Socvård+barnomsorg data'!I45</f>
        <v>412264.071</v>
      </c>
      <c r="C8" s="93"/>
      <c r="D8" s="93"/>
      <c r="E8" s="241"/>
      <c r="F8" s="85"/>
      <c r="G8" s="85"/>
      <c r="H8" s="85"/>
    </row>
    <row r="9" spans="1:8">
      <c r="A9" s="149" t="s">
        <v>95</v>
      </c>
      <c r="B9" s="241">
        <f>'Socvård+barnomsorg data'!I46</f>
        <v>156958.36920000002</v>
      </c>
      <c r="C9" s="93"/>
      <c r="D9" s="93"/>
      <c r="E9" s="241"/>
      <c r="F9" s="85"/>
      <c r="G9" s="85"/>
      <c r="H9" s="85"/>
    </row>
    <row r="10" spans="1:8">
      <c r="A10" s="149" t="s">
        <v>96</v>
      </c>
      <c r="B10" s="241">
        <f>'Socvård+barnomsorg data'!I47</f>
        <v>80283.003299999997</v>
      </c>
      <c r="C10" s="93"/>
      <c r="D10" s="93"/>
      <c r="E10" s="241"/>
      <c r="F10" s="85"/>
      <c r="G10" s="85"/>
      <c r="H10" s="85"/>
    </row>
    <row r="11" spans="1:8">
      <c r="A11" s="149" t="s">
        <v>97</v>
      </c>
      <c r="B11" s="241">
        <f>'Socvård+barnomsorg data'!I48</f>
        <v>234339.5772</v>
      </c>
      <c r="C11" s="93"/>
      <c r="D11" s="93"/>
      <c r="E11" s="241"/>
      <c r="F11" s="85"/>
      <c r="G11" s="85"/>
      <c r="H11" s="85"/>
    </row>
    <row r="12" spans="1:8">
      <c r="A12" s="149" t="s">
        <v>98</v>
      </c>
      <c r="B12" s="241">
        <f>'Socvård+barnomsorg data'!I49</f>
        <v>1160848.8315000001</v>
      </c>
      <c r="C12" s="93"/>
      <c r="D12" s="93"/>
      <c r="E12" s="241"/>
      <c r="F12" s="85"/>
      <c r="G12" s="85"/>
      <c r="H12" s="85"/>
    </row>
    <row r="13" spans="1:8">
      <c r="A13" s="149" t="s">
        <v>99</v>
      </c>
      <c r="B13" s="241">
        <f>'Socvård+barnomsorg data'!I50</f>
        <v>71760.613500000007</v>
      </c>
      <c r="C13" s="93"/>
      <c r="D13" s="93"/>
      <c r="E13" s="241"/>
      <c r="F13" s="85"/>
      <c r="G13" s="85"/>
      <c r="H13" s="85"/>
    </row>
    <row r="14" spans="1:8">
      <c r="A14" s="149" t="s">
        <v>100</v>
      </c>
      <c r="B14" s="241">
        <f>'Socvård+barnomsorg data'!I51</f>
        <v>28704.2454</v>
      </c>
      <c r="C14" s="93"/>
      <c r="D14" s="93"/>
      <c r="E14" s="241"/>
      <c r="F14" s="85"/>
      <c r="G14" s="85"/>
      <c r="H14" s="85"/>
    </row>
    <row r="15" spans="1:8">
      <c r="A15" s="149" t="s">
        <v>101</v>
      </c>
      <c r="B15" s="241">
        <f>'Socvård+barnomsorg data'!I52</f>
        <v>442641.42360000004</v>
      </c>
      <c r="C15" s="93"/>
      <c r="D15" s="93"/>
      <c r="E15" s="241"/>
      <c r="F15" s="85"/>
      <c r="G15" s="85"/>
      <c r="H15" s="85"/>
    </row>
    <row r="16" spans="1:8">
      <c r="A16" s="149" t="s">
        <v>102</v>
      </c>
      <c r="B16" s="241">
        <f>'Socvård+barnomsorg data'!I53</f>
        <v>32547.163500000002</v>
      </c>
      <c r="C16" s="93"/>
      <c r="D16" s="335"/>
      <c r="E16" s="241"/>
      <c r="F16" s="85"/>
      <c r="G16" s="85"/>
      <c r="H16" s="85"/>
    </row>
    <row r="17" spans="1:8">
      <c r="A17" s="149" t="s">
        <v>103</v>
      </c>
      <c r="B17" s="241">
        <f>'Socvård+barnomsorg data'!I54</f>
        <v>249528.25350000002</v>
      </c>
      <c r="C17" s="93"/>
      <c r="D17" s="93"/>
      <c r="E17" s="241"/>
      <c r="F17" s="85"/>
      <c r="G17" s="85"/>
      <c r="H17" s="85"/>
    </row>
    <row r="18" spans="1:8">
      <c r="A18" s="149" t="s">
        <v>104</v>
      </c>
      <c r="B18" s="241">
        <f>'Socvård+barnomsorg data'!I55</f>
        <v>52624.4499</v>
      </c>
      <c r="C18" s="93"/>
      <c r="D18" s="93"/>
      <c r="E18" s="241"/>
      <c r="F18" s="85"/>
      <c r="G18" s="85"/>
      <c r="H18" s="85"/>
    </row>
    <row r="19" spans="1:8">
      <c r="A19" s="149" t="s">
        <v>105</v>
      </c>
      <c r="B19" s="241">
        <f>'Socvård+barnomsorg data'!I56</f>
        <v>138867.8976</v>
      </c>
      <c r="C19" s="93"/>
      <c r="D19" s="93"/>
      <c r="E19" s="241"/>
      <c r="F19" s="85"/>
      <c r="G19" s="85"/>
      <c r="H19" s="85"/>
    </row>
    <row r="20" spans="1:8">
      <c r="A20" s="149" t="s">
        <v>106</v>
      </c>
      <c r="B20" s="241">
        <f>'Socvård+barnomsorg data'!I57</f>
        <v>190002.23640000002</v>
      </c>
      <c r="C20" s="93"/>
      <c r="D20" s="93"/>
      <c r="E20" s="241"/>
      <c r="F20" s="85"/>
      <c r="G20" s="85"/>
      <c r="H20" s="85"/>
    </row>
    <row r="21" spans="1:8">
      <c r="A21" s="149" t="s">
        <v>107</v>
      </c>
      <c r="B21" s="243">
        <f>'Socvård+barnomsorg data'!I58</f>
        <v>1416886.5177</v>
      </c>
      <c r="C21" s="94"/>
      <c r="D21" s="94"/>
      <c r="E21" s="243"/>
      <c r="F21" s="85"/>
      <c r="G21" s="85"/>
      <c r="H21" s="85"/>
    </row>
    <row r="22" spans="1:8">
      <c r="A22" s="208" t="s">
        <v>108</v>
      </c>
      <c r="B22" s="245">
        <f>'Socvård+barnomsorg data'!I59</f>
        <v>4847174.5544999987</v>
      </c>
      <c r="C22" s="97"/>
      <c r="D22" s="93"/>
      <c r="E22" s="245"/>
      <c r="F22" s="85"/>
      <c r="G22" s="85"/>
      <c r="H22" s="85"/>
    </row>
    <row r="23" spans="1:8">
      <c r="A23" s="85"/>
      <c r="B23" s="85"/>
      <c r="C23" s="85"/>
      <c r="D23" s="85"/>
      <c r="E23" s="85"/>
      <c r="F23" s="85"/>
      <c r="G23" s="85"/>
      <c r="H23" s="85"/>
    </row>
    <row r="24" spans="1:8">
      <c r="A24" s="85"/>
      <c r="B24" s="85"/>
      <c r="C24" s="85"/>
      <c r="D24" s="85"/>
      <c r="E24" s="85"/>
      <c r="F24" s="85"/>
      <c r="G24" s="85"/>
      <c r="H24" s="85"/>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D4B59-602C-47B8-9421-B1BAF31B1D9C}">
  <sheetPr>
    <tabColor rgb="FFD3E3E5"/>
  </sheetPr>
  <dimension ref="B2:F24"/>
  <sheetViews>
    <sheetView zoomScale="190" zoomScaleNormal="190" workbookViewId="0">
      <selection activeCell="E26" sqref="E26"/>
    </sheetView>
  </sheetViews>
  <sheetFormatPr defaultRowHeight="15"/>
  <sheetData>
    <row r="2" spans="2:6" ht="15.75" thickBot="1"/>
    <row r="3" spans="2:6" ht="18.75">
      <c r="B3" s="724" t="s">
        <v>54</v>
      </c>
      <c r="C3" s="725"/>
      <c r="D3" s="725"/>
      <c r="E3" s="725"/>
      <c r="F3" s="725"/>
    </row>
    <row r="4" spans="2:6" ht="15.75">
      <c r="B4" s="726" t="s">
        <v>55</v>
      </c>
      <c r="C4" s="727"/>
      <c r="D4" s="727"/>
      <c r="E4" s="727"/>
      <c r="F4" s="728"/>
    </row>
    <row r="5" spans="2:6" ht="18.75">
      <c r="B5" s="729"/>
      <c r="C5" s="730" t="s">
        <v>56</v>
      </c>
      <c r="D5" s="731" t="s">
        <v>57</v>
      </c>
      <c r="E5" s="731" t="s">
        <v>58</v>
      </c>
      <c r="F5" s="732"/>
    </row>
    <row r="6" spans="2:6" ht="24">
      <c r="B6" s="733" t="s">
        <v>59</v>
      </c>
      <c r="C6" s="734">
        <v>15468000</v>
      </c>
      <c r="D6" s="735">
        <v>15731000</v>
      </c>
      <c r="E6" s="734">
        <v>16200000</v>
      </c>
      <c r="F6" s="736"/>
    </row>
    <row r="7" spans="2:6" ht="24">
      <c r="B7" s="733" t="s">
        <v>60</v>
      </c>
      <c r="C7" s="734">
        <v>10489000</v>
      </c>
      <c r="D7" s="735">
        <v>9186000</v>
      </c>
      <c r="E7" s="734">
        <v>9760000</v>
      </c>
      <c r="F7" s="736"/>
    </row>
    <row r="8" spans="2:6" ht="24">
      <c r="B8" s="733" t="s">
        <v>61</v>
      </c>
      <c r="C8" s="734">
        <v>12100000</v>
      </c>
      <c r="D8" s="735">
        <v>13444000</v>
      </c>
      <c r="E8" s="734">
        <v>13934000</v>
      </c>
      <c r="F8" s="736"/>
    </row>
    <row r="9" spans="2:6">
      <c r="B9" s="733" t="s">
        <v>62</v>
      </c>
      <c r="C9" s="734">
        <v>477000</v>
      </c>
      <c r="D9" s="735">
        <v>498000</v>
      </c>
      <c r="E9" s="734">
        <v>520000</v>
      </c>
      <c r="F9" s="736"/>
    </row>
    <row r="10" spans="2:6" ht="24.75">
      <c r="B10" s="733" t="s">
        <v>63</v>
      </c>
      <c r="C10" s="734">
        <v>108000</v>
      </c>
      <c r="D10" s="737"/>
      <c r="E10" s="737"/>
      <c r="F10" s="738"/>
    </row>
    <row r="11" spans="2:6" ht="24.75">
      <c r="B11" s="733" t="s">
        <v>64</v>
      </c>
      <c r="C11" s="734">
        <v>300000</v>
      </c>
      <c r="D11" s="737">
        <v>0</v>
      </c>
      <c r="E11" s="737">
        <v>0</v>
      </c>
      <c r="F11" s="738"/>
    </row>
    <row r="12" spans="2:6" ht="36.75">
      <c r="B12" s="733" t="s">
        <v>65</v>
      </c>
      <c r="C12" s="734">
        <v>300000</v>
      </c>
      <c r="D12" s="737">
        <v>0</v>
      </c>
      <c r="E12" s="737">
        <v>0</v>
      </c>
      <c r="F12" s="738"/>
    </row>
    <row r="13" spans="2:6" ht="24.75">
      <c r="B13" s="739" t="s">
        <v>66</v>
      </c>
      <c r="C13" s="740"/>
      <c r="D13" s="740"/>
      <c r="E13" s="741">
        <v>47000</v>
      </c>
      <c r="F13" s="738"/>
    </row>
    <row r="14" spans="2:6" ht="15.75">
      <c r="B14" s="742" t="s">
        <v>67</v>
      </c>
      <c r="C14" s="743">
        <v>39242000</v>
      </c>
      <c r="D14" s="743">
        <v>38859000</v>
      </c>
      <c r="E14" s="743">
        <v>40461000</v>
      </c>
      <c r="F14" s="738"/>
    </row>
    <row r="15" spans="2:6" ht="15.75">
      <c r="B15" s="744"/>
      <c r="C15" s="745"/>
      <c r="D15" s="745"/>
      <c r="E15" s="745"/>
      <c r="F15" s="746"/>
    </row>
    <row r="16" spans="2:6" ht="16.5" thickBot="1">
      <c r="B16" s="726" t="s">
        <v>68</v>
      </c>
      <c r="C16" s="727"/>
      <c r="D16" s="727"/>
      <c r="E16" s="727"/>
      <c r="F16" s="728"/>
    </row>
    <row r="17" spans="2:6" ht="15.75">
      <c r="B17" s="747"/>
      <c r="C17" s="748"/>
      <c r="D17" s="748"/>
      <c r="E17" s="748"/>
      <c r="F17" s="749"/>
    </row>
    <row r="18" spans="2:6" ht="15.75">
      <c r="B18" s="750"/>
      <c r="C18" s="751"/>
      <c r="D18" s="751"/>
      <c r="E18" s="751"/>
      <c r="F18" s="752"/>
    </row>
    <row r="19" spans="2:6" ht="72.75">
      <c r="B19" s="750" t="s">
        <v>69</v>
      </c>
      <c r="C19" s="751">
        <v>0</v>
      </c>
      <c r="D19" s="753">
        <v>5000000</v>
      </c>
      <c r="E19" s="753">
        <v>5000000</v>
      </c>
      <c r="F19" s="752"/>
    </row>
    <row r="20" spans="2:6" ht="60.75">
      <c r="B20" s="750" t="s">
        <v>70</v>
      </c>
      <c r="C20" s="751"/>
      <c r="D20" s="753">
        <v>3300000</v>
      </c>
      <c r="E20" s="753">
        <v>3900000</v>
      </c>
      <c r="F20" s="752"/>
    </row>
    <row r="21" spans="2:6" ht="15.75">
      <c r="B21" s="754" t="s">
        <v>71</v>
      </c>
      <c r="C21" s="755">
        <v>0</v>
      </c>
      <c r="D21" s="756">
        <v>8300000</v>
      </c>
      <c r="E21" s="756">
        <v>8900000</v>
      </c>
      <c r="F21" s="752"/>
    </row>
    <row r="22" spans="2:6" ht="15.75">
      <c r="B22" s="757"/>
      <c r="C22" s="751"/>
      <c r="D22" s="751"/>
      <c r="E22" s="751"/>
      <c r="F22" s="752"/>
    </row>
    <row r="23" spans="2:6" ht="15.75">
      <c r="B23" s="758" t="s">
        <v>72</v>
      </c>
      <c r="C23" s="759">
        <v>39242000</v>
      </c>
      <c r="D23" s="759">
        <v>47159000</v>
      </c>
      <c r="E23" s="759">
        <v>49361000</v>
      </c>
      <c r="F23" s="752"/>
    </row>
    <row r="24" spans="2:6" ht="16.5" thickBot="1">
      <c r="B24" s="760"/>
      <c r="C24" s="761"/>
      <c r="D24" s="761"/>
      <c r="E24" s="761"/>
      <c r="F24" s="762"/>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44"/>
  <sheetViews>
    <sheetView topLeftCell="A5" zoomScaleNormal="100" workbookViewId="0">
      <selection activeCell="H36" sqref="H36"/>
    </sheetView>
  </sheetViews>
  <sheetFormatPr defaultRowHeight="15"/>
  <cols>
    <col min="1" max="1" width="9.77734375" bestFit="1" customWidth="1"/>
    <col min="2" max="2" width="19.6640625" customWidth="1"/>
    <col min="3" max="3" width="12" customWidth="1"/>
    <col min="4" max="4" width="12.44140625" bestFit="1" customWidth="1"/>
    <col min="5" max="5" width="13.6640625" customWidth="1"/>
  </cols>
  <sheetData>
    <row r="1" spans="1:8" ht="15.75">
      <c r="A1" s="11" t="s">
        <v>550</v>
      </c>
    </row>
    <row r="2" spans="1:8" ht="15.75">
      <c r="A2" s="11"/>
    </row>
    <row r="3" spans="1:8">
      <c r="A3" s="246">
        <v>2024</v>
      </c>
      <c r="E3" s="246"/>
    </row>
    <row r="4" spans="1:8">
      <c r="A4" s="85"/>
      <c r="B4" s="85"/>
      <c r="C4" s="85"/>
      <c r="D4" s="85"/>
      <c r="E4" s="85"/>
      <c r="F4" s="85"/>
      <c r="G4" s="85"/>
      <c r="H4" s="85"/>
    </row>
    <row r="5" spans="1:8">
      <c r="A5" s="105"/>
      <c r="B5" s="103" t="s">
        <v>490</v>
      </c>
      <c r="C5" s="103" t="s">
        <v>436</v>
      </c>
      <c r="D5" s="103" t="s">
        <v>551</v>
      </c>
      <c r="E5" s="201" t="s">
        <v>552</v>
      </c>
      <c r="F5" s="85"/>
      <c r="G5" s="103"/>
      <c r="H5" s="85"/>
    </row>
    <row r="6" spans="1:8">
      <c r="A6" s="149" t="s">
        <v>92</v>
      </c>
      <c r="B6" s="93">
        <f>'Socvård+barnomsorg data'!G43</f>
        <v>244710.87</v>
      </c>
      <c r="C6" s="93">
        <f>'Soctjänst data'!D34</f>
        <v>63444.55</v>
      </c>
      <c r="D6" s="93">
        <f t="shared" ref="D6:D21" si="0">B6+C6</f>
        <v>308155.42</v>
      </c>
      <c r="E6" s="241">
        <f>IF(D6&gt;0,D6,0)</f>
        <v>308155.42</v>
      </c>
      <c r="F6" s="85"/>
      <c r="G6" s="93"/>
      <c r="H6" s="85"/>
    </row>
    <row r="7" spans="1:8">
      <c r="A7" s="149" t="s">
        <v>93</v>
      </c>
      <c r="B7" s="93">
        <f>'Socvård+barnomsorg data'!G44</f>
        <v>180158.98</v>
      </c>
      <c r="C7" s="93">
        <f>'Soctjänst data'!D35</f>
        <v>132387.62</v>
      </c>
      <c r="D7" s="93">
        <f t="shared" si="0"/>
        <v>312546.59999999998</v>
      </c>
      <c r="E7" s="241">
        <f t="shared" ref="E7:E21" si="1">IF(D7&gt;0,D7,0)</f>
        <v>312546.59999999998</v>
      </c>
      <c r="F7" s="85"/>
      <c r="G7" s="93"/>
      <c r="H7" s="85"/>
    </row>
    <row r="8" spans="1:8">
      <c r="A8" s="149" t="s">
        <v>94</v>
      </c>
      <c r="B8" s="93">
        <f>'Socvård+barnomsorg data'!G45</f>
        <v>360121.75</v>
      </c>
      <c r="C8" s="93">
        <f>'Soctjänst data'!D36</f>
        <v>364876.63</v>
      </c>
      <c r="D8" s="93">
        <f t="shared" si="0"/>
        <v>724998.38</v>
      </c>
      <c r="E8" s="241">
        <f t="shared" si="1"/>
        <v>724998.38</v>
      </c>
      <c r="F8" s="85"/>
      <c r="G8" s="93"/>
      <c r="H8" s="85"/>
    </row>
    <row r="9" spans="1:8">
      <c r="A9" s="149" t="s">
        <v>95</v>
      </c>
      <c r="B9" s="93">
        <f>'Socvård+barnomsorg data'!G46</f>
        <v>265814.64</v>
      </c>
      <c r="C9" s="93">
        <f>'Soctjänst data'!D37</f>
        <v>71057.89</v>
      </c>
      <c r="D9" s="93">
        <f t="shared" si="0"/>
        <v>336872.53</v>
      </c>
      <c r="E9" s="241">
        <f t="shared" si="1"/>
        <v>336872.53</v>
      </c>
      <c r="F9" s="85"/>
      <c r="G9" s="93"/>
      <c r="H9" s="85"/>
    </row>
    <row r="10" spans="1:8">
      <c r="A10" s="149" t="s">
        <v>96</v>
      </c>
      <c r="B10" s="93">
        <f>'Socvård+barnomsorg data'!G47</f>
        <v>96133.34</v>
      </c>
      <c r="C10" s="93">
        <f>'Soctjänst data'!D38</f>
        <v>71480.86</v>
      </c>
      <c r="D10" s="93">
        <f t="shared" si="0"/>
        <v>167614.20000000001</v>
      </c>
      <c r="E10" s="241">
        <f t="shared" si="1"/>
        <v>167614.20000000001</v>
      </c>
      <c r="F10" s="85"/>
      <c r="G10" s="93"/>
      <c r="H10" s="85"/>
    </row>
    <row r="11" spans="1:8">
      <c r="A11" s="149" t="s">
        <v>97</v>
      </c>
      <c r="B11" s="93">
        <f>'Socvård+barnomsorg data'!G48</f>
        <v>246272.98</v>
      </c>
      <c r="C11" s="93">
        <f>'Soctjänst data'!D39</f>
        <v>229528.27</v>
      </c>
      <c r="D11" s="93">
        <f t="shared" si="0"/>
        <v>475801.25</v>
      </c>
      <c r="E11" s="241">
        <f t="shared" si="1"/>
        <v>475801.25</v>
      </c>
      <c r="F11" s="85"/>
      <c r="G11" s="93"/>
      <c r="H11" s="85"/>
    </row>
    <row r="12" spans="1:8">
      <c r="A12" s="149" t="s">
        <v>98</v>
      </c>
      <c r="B12" s="93">
        <f>'Socvård+barnomsorg data'!G49</f>
        <v>495851.06</v>
      </c>
      <c r="C12" s="93">
        <f>'Soctjänst data'!D40</f>
        <v>790942.01</v>
      </c>
      <c r="D12" s="93">
        <f t="shared" si="0"/>
        <v>1286793.07</v>
      </c>
      <c r="E12" s="241">
        <f t="shared" si="1"/>
        <v>1286793.07</v>
      </c>
      <c r="F12" s="85"/>
      <c r="G12" s="93"/>
      <c r="H12" s="85"/>
    </row>
    <row r="13" spans="1:8">
      <c r="A13" s="149" t="s">
        <v>99</v>
      </c>
      <c r="B13" s="93">
        <f>'Socvård+barnomsorg data'!G50</f>
        <v>257950.14</v>
      </c>
      <c r="C13" s="93">
        <f>'Soctjänst data'!D41</f>
        <v>43142.29</v>
      </c>
      <c r="D13" s="93">
        <f t="shared" si="0"/>
        <v>301092.43</v>
      </c>
      <c r="E13" s="241">
        <f t="shared" si="1"/>
        <v>301092.43</v>
      </c>
      <c r="F13" s="85"/>
      <c r="G13" s="93"/>
      <c r="H13" s="85"/>
    </row>
    <row r="14" spans="1:8">
      <c r="A14" s="149" t="s">
        <v>100</v>
      </c>
      <c r="B14" s="93">
        <f>'Socvård+barnomsorg data'!G51</f>
        <v>166544.49</v>
      </c>
      <c r="C14" s="93">
        <f>'Soctjänst data'!D42</f>
        <v>31440.3</v>
      </c>
      <c r="D14" s="93">
        <f t="shared" si="0"/>
        <v>197984.78999999998</v>
      </c>
      <c r="E14" s="241">
        <f t="shared" si="1"/>
        <v>197984.78999999998</v>
      </c>
      <c r="F14" s="85"/>
      <c r="G14" s="93"/>
      <c r="H14" s="85"/>
    </row>
    <row r="15" spans="1:8">
      <c r="A15" s="149" t="s">
        <v>101</v>
      </c>
      <c r="B15" s="93">
        <f>'Socvård+barnomsorg data'!G52</f>
        <v>234376.9</v>
      </c>
      <c r="C15" s="93">
        <f>'Soctjänst data'!D43</f>
        <v>300445.17</v>
      </c>
      <c r="D15" s="93">
        <f t="shared" si="0"/>
        <v>534822.06999999995</v>
      </c>
      <c r="E15" s="241">
        <f t="shared" si="1"/>
        <v>534822.06999999995</v>
      </c>
      <c r="F15" s="85"/>
      <c r="G15" s="93"/>
      <c r="H15" s="85"/>
    </row>
    <row r="16" spans="1:8">
      <c r="A16" s="149" t="s">
        <v>102</v>
      </c>
      <c r="B16" s="93">
        <f>'Socvård+barnomsorg data'!G53</f>
        <v>71746.91</v>
      </c>
      <c r="C16" s="93">
        <f>'Soctjänst data'!D44</f>
        <v>50755.64</v>
      </c>
      <c r="D16" s="23">
        <f t="shared" si="0"/>
        <v>122502.55</v>
      </c>
      <c r="E16" s="241">
        <f t="shared" si="1"/>
        <v>122502.55</v>
      </c>
      <c r="F16" s="85"/>
      <c r="G16" s="93"/>
      <c r="H16" s="85"/>
    </row>
    <row r="17" spans="1:8">
      <c r="A17" s="149" t="s">
        <v>103</v>
      </c>
      <c r="B17" s="93">
        <f>'Socvård+barnomsorg data'!G54</f>
        <v>350717.5</v>
      </c>
      <c r="C17" s="93">
        <f>'Soctjänst data'!D45</f>
        <v>252791.27</v>
      </c>
      <c r="D17" s="93">
        <f t="shared" si="0"/>
        <v>603508.77</v>
      </c>
      <c r="E17" s="241">
        <f t="shared" si="1"/>
        <v>603508.77</v>
      </c>
      <c r="F17" s="85"/>
      <c r="G17" s="93"/>
      <c r="H17" s="85"/>
    </row>
    <row r="18" spans="1:8">
      <c r="A18" s="149" t="s">
        <v>104</v>
      </c>
      <c r="B18" s="93">
        <f>'Socvård+barnomsorg data'!G55</f>
        <v>60855.78</v>
      </c>
      <c r="C18" s="93">
        <f>'Soctjänst data'!D46</f>
        <v>15649.65</v>
      </c>
      <c r="D18" s="93">
        <f t="shared" si="0"/>
        <v>76505.429999999993</v>
      </c>
      <c r="E18" s="241">
        <f t="shared" si="1"/>
        <v>76505.429999999993</v>
      </c>
      <c r="F18" s="85"/>
      <c r="G18" s="93"/>
      <c r="H18" s="85"/>
    </row>
    <row r="19" spans="1:8">
      <c r="A19" s="149" t="s">
        <v>105</v>
      </c>
      <c r="B19" s="93">
        <f>'Socvård+barnomsorg data'!G56</f>
        <v>168318.76</v>
      </c>
      <c r="C19" s="93">
        <f>'Soctjänst data'!D47</f>
        <v>141128.87</v>
      </c>
      <c r="D19" s="93">
        <f t="shared" si="0"/>
        <v>309447.63</v>
      </c>
      <c r="E19" s="241">
        <f t="shared" si="1"/>
        <v>309447.63</v>
      </c>
      <c r="F19" s="85"/>
      <c r="G19" s="93"/>
      <c r="H19" s="85"/>
    </row>
    <row r="20" spans="1:8">
      <c r="A20" s="149" t="s">
        <v>106</v>
      </c>
      <c r="B20" s="93">
        <f>'Socvård+barnomsorg data'!G57</f>
        <v>226403.71</v>
      </c>
      <c r="C20" s="93">
        <f>'Soctjänst data'!D48</f>
        <v>63585.53</v>
      </c>
      <c r="D20" s="93">
        <f t="shared" si="0"/>
        <v>289989.24</v>
      </c>
      <c r="E20" s="241">
        <f t="shared" si="1"/>
        <v>289989.24</v>
      </c>
      <c r="F20" s="85"/>
      <c r="G20" s="93"/>
      <c r="H20" s="85"/>
    </row>
    <row r="21" spans="1:8">
      <c r="A21" s="149" t="s">
        <v>107</v>
      </c>
      <c r="B21" s="94">
        <f>'Socvård+barnomsorg data'!G58</f>
        <v>2052823.92</v>
      </c>
      <c r="C21" s="94">
        <f>'Soctjänst data'!D49</f>
        <v>1657594.51</v>
      </c>
      <c r="D21" s="94">
        <f t="shared" si="0"/>
        <v>3710418.4299999997</v>
      </c>
      <c r="E21" s="243">
        <f t="shared" si="1"/>
        <v>3710418.4299999997</v>
      </c>
      <c r="F21" s="85"/>
      <c r="G21" s="94"/>
      <c r="H21" s="85"/>
    </row>
    <row r="22" spans="1:8">
      <c r="A22" s="208" t="s">
        <v>108</v>
      </c>
      <c r="B22" s="97">
        <f>'Socvård+barnomsorg data'!G59</f>
        <v>5478801.7299999995</v>
      </c>
      <c r="C22" s="97">
        <f>SUM(C6:C21)</f>
        <v>4280251.0600000005</v>
      </c>
      <c r="D22" s="93">
        <f>SUM(D6:D21)</f>
        <v>9759052.7899999991</v>
      </c>
      <c r="E22" s="245">
        <f>SUM(E6:E21)</f>
        <v>9759052.7899999991</v>
      </c>
      <c r="F22" s="85"/>
      <c r="G22" s="97"/>
      <c r="H22" s="85"/>
    </row>
    <row r="23" spans="1:8">
      <c r="A23" s="85"/>
      <c r="B23" s="85"/>
      <c r="C23" s="85"/>
      <c r="D23" s="85"/>
      <c r="E23" s="85"/>
      <c r="F23" s="85"/>
      <c r="G23" s="85"/>
      <c r="H23" s="85"/>
    </row>
    <row r="24" spans="1:8" ht="15.75">
      <c r="A24" s="11"/>
      <c r="F24" s="85"/>
      <c r="G24" s="85"/>
      <c r="H24" s="85"/>
    </row>
    <row r="25" spans="1:8">
      <c r="A25" s="246">
        <v>2023</v>
      </c>
      <c r="E25" s="246"/>
    </row>
    <row r="26" spans="1:8">
      <c r="A26" s="85"/>
      <c r="B26" s="85"/>
      <c r="C26" s="85"/>
      <c r="D26" s="85"/>
      <c r="E26" s="85"/>
    </row>
    <row r="27" spans="1:8">
      <c r="A27" s="105"/>
      <c r="B27" s="103" t="s">
        <v>490</v>
      </c>
      <c r="C27" s="103" t="s">
        <v>436</v>
      </c>
      <c r="D27" s="103" t="s">
        <v>551</v>
      </c>
      <c r="E27" s="201" t="s">
        <v>552</v>
      </c>
    </row>
    <row r="28" spans="1:8">
      <c r="A28" s="149" t="s">
        <v>92</v>
      </c>
      <c r="B28" s="93">
        <v>242805.9</v>
      </c>
      <c r="C28" s="93">
        <v>60555.89</v>
      </c>
      <c r="D28" s="93">
        <v>303361.78999999998</v>
      </c>
      <c r="E28" s="241">
        <v>303361.78999999998</v>
      </c>
    </row>
    <row r="29" spans="1:8">
      <c r="A29" s="149" t="s">
        <v>93</v>
      </c>
      <c r="B29" s="93">
        <v>161623.91</v>
      </c>
      <c r="C29" s="93">
        <v>125832.18</v>
      </c>
      <c r="D29" s="93">
        <v>287456.08999999997</v>
      </c>
      <c r="E29" s="241">
        <v>287456.08999999997</v>
      </c>
    </row>
    <row r="30" spans="1:8">
      <c r="A30" s="149" t="s">
        <v>94</v>
      </c>
      <c r="B30" s="93">
        <v>329728.95</v>
      </c>
      <c r="C30" s="93">
        <v>355782.73</v>
      </c>
      <c r="D30" s="93">
        <v>685511.67999999993</v>
      </c>
      <c r="E30" s="241">
        <v>685511.67999999993</v>
      </c>
    </row>
    <row r="31" spans="1:8">
      <c r="A31" s="149" t="s">
        <v>95</v>
      </c>
      <c r="B31" s="93">
        <v>260559.57</v>
      </c>
      <c r="C31" s="93">
        <v>67569.05</v>
      </c>
      <c r="D31" s="93">
        <v>328128.62</v>
      </c>
      <c r="E31" s="241">
        <v>328128.62</v>
      </c>
    </row>
    <row r="32" spans="1:8">
      <c r="A32" s="149" t="s">
        <v>96</v>
      </c>
      <c r="B32" s="93">
        <v>90358.55</v>
      </c>
      <c r="C32" s="93">
        <v>68108.52</v>
      </c>
      <c r="D32" s="93">
        <v>158467.07</v>
      </c>
      <c r="E32" s="241">
        <v>158467.07</v>
      </c>
    </row>
    <row r="33" spans="1:5">
      <c r="A33" s="149" t="s">
        <v>97</v>
      </c>
      <c r="B33" s="93">
        <v>227514.18</v>
      </c>
      <c r="C33" s="93">
        <v>218351.87</v>
      </c>
      <c r="D33" s="93">
        <v>445866.05</v>
      </c>
      <c r="E33" s="241">
        <v>445866.05</v>
      </c>
    </row>
    <row r="34" spans="1:5">
      <c r="A34" s="149" t="s">
        <v>98</v>
      </c>
      <c r="B34" s="93">
        <v>446916.27</v>
      </c>
      <c r="C34" s="93">
        <v>743394.4</v>
      </c>
      <c r="D34" s="93">
        <v>1190310.67</v>
      </c>
      <c r="E34" s="241">
        <v>1190310.67</v>
      </c>
    </row>
    <row r="35" spans="1:5">
      <c r="A35" s="149" t="s">
        <v>99</v>
      </c>
      <c r="B35" s="93">
        <v>235164.67</v>
      </c>
      <c r="C35" s="93">
        <v>42213.8</v>
      </c>
      <c r="D35" s="93">
        <v>277378.47000000003</v>
      </c>
      <c r="E35" s="241">
        <v>277378.47000000003</v>
      </c>
    </row>
    <row r="36" spans="1:5">
      <c r="A36" s="149" t="s">
        <v>100</v>
      </c>
      <c r="B36" s="93">
        <v>150586.60999999999</v>
      </c>
      <c r="C36" s="93">
        <v>30210.51</v>
      </c>
      <c r="D36" s="93">
        <v>180797.12</v>
      </c>
      <c r="E36" s="241">
        <v>180797.12</v>
      </c>
    </row>
    <row r="37" spans="1:5">
      <c r="A37" s="149" t="s">
        <v>101</v>
      </c>
      <c r="B37" s="93">
        <v>221569.16</v>
      </c>
      <c r="C37" s="93">
        <v>287943.95</v>
      </c>
      <c r="D37" s="93">
        <v>509513.11</v>
      </c>
      <c r="E37" s="241">
        <v>509513.11</v>
      </c>
    </row>
    <row r="38" spans="1:5">
      <c r="A38" s="149" t="s">
        <v>102</v>
      </c>
      <c r="B38" s="93">
        <v>68920.39</v>
      </c>
      <c r="C38" s="93">
        <v>50710.5</v>
      </c>
      <c r="D38" s="23">
        <v>119630.89</v>
      </c>
      <c r="E38" s="241">
        <v>119630.89</v>
      </c>
    </row>
    <row r="39" spans="1:5">
      <c r="A39" s="149" t="s">
        <v>103</v>
      </c>
      <c r="B39" s="93">
        <v>316619.45</v>
      </c>
      <c r="C39" s="93">
        <v>244111.73</v>
      </c>
      <c r="D39" s="93">
        <v>560731.18000000005</v>
      </c>
      <c r="E39" s="241">
        <v>560731.18000000005</v>
      </c>
    </row>
    <row r="40" spans="1:5">
      <c r="A40" s="149" t="s">
        <v>104</v>
      </c>
      <c r="B40" s="93">
        <v>65301.69</v>
      </c>
      <c r="C40" s="93">
        <v>14161.18</v>
      </c>
      <c r="D40" s="93">
        <v>79462.87</v>
      </c>
      <c r="E40" s="241">
        <v>79462.87</v>
      </c>
    </row>
    <row r="41" spans="1:5">
      <c r="A41" s="149" t="s">
        <v>105</v>
      </c>
      <c r="B41" s="93">
        <v>156053.5</v>
      </c>
      <c r="C41" s="93">
        <v>137430.85999999999</v>
      </c>
      <c r="D41" s="93">
        <v>293484.36</v>
      </c>
      <c r="E41" s="241">
        <v>293484.36</v>
      </c>
    </row>
    <row r="42" spans="1:5">
      <c r="A42" s="149" t="s">
        <v>106</v>
      </c>
      <c r="B42" s="93">
        <v>237384.77</v>
      </c>
      <c r="C42" s="93">
        <v>62444.05</v>
      </c>
      <c r="D42" s="93">
        <v>299828.82</v>
      </c>
      <c r="E42" s="241">
        <v>299828.82</v>
      </c>
    </row>
    <row r="43" spans="1:5">
      <c r="A43" s="149" t="s">
        <v>107</v>
      </c>
      <c r="B43" s="94">
        <v>1882316.57</v>
      </c>
      <c r="C43" s="94">
        <v>1583624.28</v>
      </c>
      <c r="D43" s="94">
        <v>3465940.85</v>
      </c>
      <c r="E43" s="243">
        <v>3465940.85</v>
      </c>
    </row>
    <row r="44" spans="1:5">
      <c r="A44" s="208" t="s">
        <v>108</v>
      </c>
      <c r="B44" s="97">
        <v>5093424.1400000006</v>
      </c>
      <c r="C44" s="97">
        <v>4092445.5</v>
      </c>
      <c r="D44" s="93">
        <v>9185869.6400000006</v>
      </c>
      <c r="E44" s="245">
        <v>9185869.6400000006</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T134"/>
  <sheetViews>
    <sheetView zoomScaleNormal="100" zoomScalePageLayoutView="80" workbookViewId="0">
      <selection activeCell="B55" sqref="B55"/>
    </sheetView>
  </sheetViews>
  <sheetFormatPr defaultRowHeight="15"/>
  <cols>
    <col min="1" max="1" width="15.109375" customWidth="1"/>
    <col min="2" max="2" width="10.5546875" bestFit="1" customWidth="1"/>
    <col min="3" max="5" width="9.77734375" bestFit="1" customWidth="1"/>
    <col min="6" max="6" width="10.5546875" bestFit="1" customWidth="1"/>
    <col min="7" max="7" width="10.44140625" bestFit="1" customWidth="1"/>
    <col min="8" max="8" width="9.88671875" customWidth="1"/>
    <col min="9" max="9" width="10.77734375" customWidth="1"/>
    <col min="10" max="10" width="11.33203125" bestFit="1" customWidth="1"/>
    <col min="11" max="11" width="8.88671875" bestFit="1" customWidth="1"/>
    <col min="14" max="14" width="9.88671875" customWidth="1"/>
  </cols>
  <sheetData>
    <row r="1" spans="1:17" ht="15.75">
      <c r="A1" s="11" t="s">
        <v>553</v>
      </c>
    </row>
    <row r="2" spans="1:17" ht="15.75">
      <c r="A2" s="3" t="s">
        <v>554</v>
      </c>
    </row>
    <row r="3" spans="1:17">
      <c r="B3" s="246"/>
    </row>
    <row r="4" spans="1:17">
      <c r="A4" s="53" t="s">
        <v>555</v>
      </c>
      <c r="B4" s="85"/>
      <c r="C4" s="85"/>
      <c r="D4" s="85"/>
      <c r="E4" s="85"/>
      <c r="F4" s="85"/>
      <c r="G4" s="85"/>
      <c r="H4" s="85"/>
      <c r="N4" s="181">
        <v>2024</v>
      </c>
      <c r="O4" s="182" t="s">
        <v>556</v>
      </c>
      <c r="P4" s="182"/>
      <c r="Q4" s="182"/>
    </row>
    <row r="5" spans="1:17">
      <c r="A5" s="85"/>
      <c r="B5" s="85"/>
      <c r="C5" s="85"/>
      <c r="D5" s="85"/>
      <c r="E5" s="85"/>
      <c r="F5" s="85"/>
      <c r="G5" s="85"/>
      <c r="H5" s="85"/>
      <c r="N5" s="100"/>
      <c r="O5" s="100" t="s">
        <v>401</v>
      </c>
      <c r="P5" s="100" t="s">
        <v>402</v>
      </c>
      <c r="Q5" s="100" t="s">
        <v>403</v>
      </c>
    </row>
    <row r="6" spans="1:17">
      <c r="A6" s="85"/>
      <c r="B6" s="562" t="s">
        <v>557</v>
      </c>
      <c r="C6" s="85"/>
      <c r="D6" s="85"/>
      <c r="E6" s="85"/>
      <c r="F6" s="85"/>
      <c r="G6" s="85"/>
      <c r="H6" s="85"/>
      <c r="N6" s="181"/>
      <c r="O6" s="183">
        <v>1320.79</v>
      </c>
      <c r="P6" s="183">
        <v>5379.95</v>
      </c>
      <c r="Q6" s="183">
        <v>21378.36</v>
      </c>
    </row>
    <row r="7" spans="1:17">
      <c r="A7" s="181">
        <v>2024</v>
      </c>
      <c r="B7" s="85" t="s">
        <v>122</v>
      </c>
      <c r="C7" s="85"/>
      <c r="D7" s="182" t="s">
        <v>556</v>
      </c>
      <c r="E7" s="182"/>
      <c r="F7" s="182"/>
      <c r="G7" s="85"/>
      <c r="N7" s="181">
        <v>2023</v>
      </c>
      <c r="O7" s="182" t="s">
        <v>556</v>
      </c>
      <c r="P7" s="182"/>
      <c r="Q7" s="182"/>
    </row>
    <row r="8" spans="1:17">
      <c r="A8" s="100" t="s">
        <v>558</v>
      </c>
      <c r="B8" s="100" t="s">
        <v>400</v>
      </c>
      <c r="C8" s="322"/>
      <c r="D8" s="100" t="s">
        <v>401</v>
      </c>
      <c r="E8" s="100" t="s">
        <v>402</v>
      </c>
      <c r="F8" s="100" t="s">
        <v>403</v>
      </c>
      <c r="G8" s="85"/>
      <c r="N8" s="100" t="s">
        <v>558</v>
      </c>
      <c r="O8" s="100" t="s">
        <v>401</v>
      </c>
      <c r="P8" s="100" t="s">
        <v>402</v>
      </c>
      <c r="Q8" s="100" t="s">
        <v>403</v>
      </c>
    </row>
    <row r="9" spans="1:17">
      <c r="A9" s="181" t="s">
        <v>28</v>
      </c>
      <c r="B9" s="183">
        <f>Basbelopp!AE81</f>
        <v>13071.15</v>
      </c>
      <c r="C9" s="323"/>
      <c r="D9" s="183">
        <f>Basbelopp!AG81</f>
        <v>1320.79</v>
      </c>
      <c r="E9" s="183">
        <f>Basbelopp!AH81</f>
        <v>5379.95</v>
      </c>
      <c r="F9" s="183">
        <f>Basbelopp!AI81</f>
        <v>21378.36</v>
      </c>
      <c r="G9" s="85"/>
      <c r="N9" s="181" t="s">
        <v>28</v>
      </c>
      <c r="O9" s="183">
        <v>1263.47</v>
      </c>
      <c r="P9" s="183">
        <v>5146.45</v>
      </c>
      <c r="Q9" s="183">
        <v>20450.509999999998</v>
      </c>
    </row>
    <row r="10" spans="1:17">
      <c r="A10" s="85"/>
      <c r="B10" s="85"/>
      <c r="C10" s="85"/>
      <c r="D10" s="85"/>
      <c r="E10" s="85"/>
      <c r="F10" s="85"/>
      <c r="G10" s="85"/>
      <c r="H10" s="85"/>
      <c r="N10" s="181">
        <v>2022</v>
      </c>
      <c r="O10" s="182" t="s">
        <v>556</v>
      </c>
      <c r="P10" s="182"/>
      <c r="Q10" s="182"/>
    </row>
    <row r="11" spans="1:17">
      <c r="A11" s="53" t="s">
        <v>542</v>
      </c>
      <c r="B11" s="85"/>
      <c r="C11" s="85"/>
      <c r="D11" s="85"/>
      <c r="E11" s="85"/>
      <c r="F11" s="85"/>
      <c r="G11" s="85"/>
      <c r="H11" s="85"/>
      <c r="N11" s="100" t="s">
        <v>558</v>
      </c>
      <c r="O11" s="100" t="s">
        <v>401</v>
      </c>
      <c r="P11" s="100" t="s">
        <v>402</v>
      </c>
      <c r="Q11" s="100" t="s">
        <v>403</v>
      </c>
    </row>
    <row r="12" spans="1:17">
      <c r="B12" s="85"/>
      <c r="C12" s="85"/>
      <c r="D12" s="85"/>
      <c r="E12" s="85"/>
      <c r="F12" s="85"/>
      <c r="G12" s="85"/>
      <c r="H12" s="85"/>
      <c r="N12" s="181" t="s">
        <v>28</v>
      </c>
      <c r="O12" s="183">
        <v>1289.95</v>
      </c>
      <c r="P12" s="183">
        <v>5682.28</v>
      </c>
      <c r="Q12" s="183">
        <v>20098.77</v>
      </c>
    </row>
    <row r="13" spans="1:17">
      <c r="A13" s="85"/>
      <c r="B13" s="85"/>
      <c r="C13" s="85"/>
      <c r="D13" s="85"/>
      <c r="E13" s="562" t="s">
        <v>557</v>
      </c>
      <c r="F13" s="85"/>
      <c r="G13" s="85"/>
      <c r="H13" s="85"/>
    </row>
    <row r="14" spans="1:17">
      <c r="A14" s="103" t="s">
        <v>533</v>
      </c>
      <c r="B14" s="105"/>
      <c r="C14" s="324">
        <v>2024</v>
      </c>
      <c r="D14" s="85"/>
      <c r="E14" s="324" t="s">
        <v>559</v>
      </c>
      <c r="F14" s="184"/>
      <c r="G14" s="85"/>
    </row>
    <row r="15" spans="1:17">
      <c r="A15" s="85" t="s">
        <v>527</v>
      </c>
      <c r="B15" s="85"/>
      <c r="C15" s="185">
        <v>0.125</v>
      </c>
      <c r="D15" s="85"/>
      <c r="E15" s="185">
        <v>0.16600000000000001</v>
      </c>
      <c r="F15" s="85"/>
      <c r="G15" s="85"/>
    </row>
    <row r="16" spans="1:17">
      <c r="A16" s="186" t="s">
        <v>560</v>
      </c>
      <c r="B16" s="186"/>
      <c r="C16" s="187">
        <f>C15+15%</f>
        <v>0.27500000000000002</v>
      </c>
      <c r="D16" s="85"/>
      <c r="E16" s="187">
        <v>0.316</v>
      </c>
      <c r="F16" s="85"/>
      <c r="G16" s="85"/>
    </row>
    <row r="17" spans="1:19">
      <c r="A17" s="188" t="s">
        <v>561</v>
      </c>
      <c r="B17" s="188"/>
      <c r="C17" s="189">
        <f>C15+15%+5%</f>
        <v>0.32500000000000001</v>
      </c>
      <c r="D17" s="85"/>
      <c r="E17" s="189">
        <v>0.36599999999999999</v>
      </c>
      <c r="F17" s="85"/>
      <c r="G17" s="85"/>
    </row>
    <row r="18" spans="1:19">
      <c r="A18" s="85"/>
      <c r="B18" s="85"/>
      <c r="C18" s="85"/>
      <c r="D18" s="85"/>
      <c r="E18" s="85"/>
      <c r="F18" s="85"/>
      <c r="G18" s="85"/>
      <c r="H18" s="85"/>
    </row>
    <row r="19" spans="1:19">
      <c r="A19" s="85"/>
      <c r="B19" s="85"/>
      <c r="C19" s="85"/>
      <c r="D19" s="85"/>
      <c r="E19" s="85"/>
      <c r="F19" s="85"/>
      <c r="G19" s="85"/>
      <c r="H19" s="85"/>
    </row>
    <row r="20" spans="1:19">
      <c r="A20" s="104" t="s">
        <v>4</v>
      </c>
      <c r="B20" s="85"/>
      <c r="C20" s="85"/>
      <c r="D20" s="85"/>
      <c r="E20" s="85"/>
      <c r="F20" s="85"/>
      <c r="G20" s="85"/>
      <c r="H20" s="85"/>
      <c r="N20" s="104" t="s">
        <v>4</v>
      </c>
      <c r="O20" s="85"/>
      <c r="P20" s="85"/>
      <c r="Q20" s="85"/>
      <c r="R20" s="85"/>
      <c r="S20" s="85"/>
    </row>
    <row r="21" spans="1:19" ht="15.75" thickBot="1">
      <c r="A21" s="190" t="str">
        <f>Invånare!A26</f>
        <v>2023-01-01</v>
      </c>
      <c r="B21" s="191" t="s">
        <v>400</v>
      </c>
      <c r="C21" s="265" t="s">
        <v>404</v>
      </c>
      <c r="D21" s="191" t="s">
        <v>401</v>
      </c>
      <c r="E21" s="191" t="s">
        <v>402</v>
      </c>
      <c r="F21" s="191" t="s">
        <v>403</v>
      </c>
      <c r="G21" s="85"/>
      <c r="H21" s="85"/>
      <c r="L21" s="85" t="s">
        <v>540</v>
      </c>
      <c r="N21" s="190" t="s">
        <v>562</v>
      </c>
      <c r="O21" s="191" t="s">
        <v>400</v>
      </c>
      <c r="P21" s="265" t="s">
        <v>404</v>
      </c>
      <c r="Q21" s="191" t="s">
        <v>401</v>
      </c>
      <c r="R21" s="191" t="s">
        <v>402</v>
      </c>
      <c r="S21" s="191" t="s">
        <v>403</v>
      </c>
    </row>
    <row r="22" spans="1:19" ht="16.5" thickTop="1" thickBot="1">
      <c r="A22" s="192" t="s">
        <v>92</v>
      </c>
      <c r="B22" s="193">
        <f>Invånare!B27</f>
        <v>12</v>
      </c>
      <c r="C22" s="266">
        <f>Invånare!C27</f>
        <v>283</v>
      </c>
      <c r="D22" s="193">
        <f>Invånare!D27</f>
        <v>83</v>
      </c>
      <c r="E22" s="193">
        <f>Invånare!E27</f>
        <v>56</v>
      </c>
      <c r="F22" s="193">
        <f>Invånare!F27</f>
        <v>16</v>
      </c>
      <c r="H22" s="85"/>
      <c r="L22" s="101">
        <f>SUM(B22:F22)-Invånare!B6</f>
        <v>0</v>
      </c>
      <c r="N22" s="192" t="s">
        <v>92</v>
      </c>
      <c r="O22" s="193">
        <v>14</v>
      </c>
      <c r="P22" s="266">
        <v>283</v>
      </c>
      <c r="Q22" s="193">
        <v>80</v>
      </c>
      <c r="R22" s="193">
        <v>54</v>
      </c>
      <c r="S22" s="193">
        <v>18</v>
      </c>
    </row>
    <row r="23" spans="1:19" ht="16.5" thickTop="1" thickBot="1">
      <c r="A23" s="104" t="s">
        <v>93</v>
      </c>
      <c r="B23" s="23">
        <f>Invånare!B28</f>
        <v>56</v>
      </c>
      <c r="C23" s="267">
        <f>Invånare!C28</f>
        <v>612</v>
      </c>
      <c r="D23" s="23">
        <f>Invånare!D28</f>
        <v>146</v>
      </c>
      <c r="E23" s="23">
        <f>Invånare!E28</f>
        <v>89</v>
      </c>
      <c r="F23" s="23">
        <f>Invånare!F28</f>
        <v>36</v>
      </c>
      <c r="H23" s="85"/>
      <c r="L23" s="101">
        <f>SUM(B23:F23)-Invånare!B7</f>
        <v>0</v>
      </c>
      <c r="N23" s="104" t="s">
        <v>93</v>
      </c>
      <c r="O23" s="23">
        <v>58</v>
      </c>
      <c r="P23" s="267">
        <v>614</v>
      </c>
      <c r="Q23" s="23">
        <v>143</v>
      </c>
      <c r="R23" s="23">
        <v>85</v>
      </c>
      <c r="S23" s="23">
        <v>33</v>
      </c>
    </row>
    <row r="24" spans="1:19" ht="16.5" thickTop="1" thickBot="1">
      <c r="A24" s="104" t="s">
        <v>94</v>
      </c>
      <c r="B24" s="23">
        <f>Invånare!B29</f>
        <v>190</v>
      </c>
      <c r="C24" s="267">
        <f>Invånare!C29</f>
        <v>1810</v>
      </c>
      <c r="D24" s="23">
        <f>Invånare!D29</f>
        <v>310</v>
      </c>
      <c r="E24" s="23">
        <f>Invånare!E29</f>
        <v>217</v>
      </c>
      <c r="F24" s="23">
        <f>Invånare!F29</f>
        <v>61</v>
      </c>
      <c r="H24" s="85"/>
      <c r="L24" s="101">
        <f>SUM(B24:F24)-Invånare!B8</f>
        <v>0</v>
      </c>
      <c r="N24" s="104" t="s">
        <v>94</v>
      </c>
      <c r="O24" s="23">
        <v>195</v>
      </c>
      <c r="P24" s="267">
        <v>1857</v>
      </c>
      <c r="Q24" s="23">
        <v>322</v>
      </c>
      <c r="R24" s="23">
        <v>207</v>
      </c>
      <c r="S24" s="23">
        <v>57</v>
      </c>
    </row>
    <row r="25" spans="1:19" ht="16.5" thickTop="1" thickBot="1">
      <c r="A25" s="194" t="s">
        <v>95</v>
      </c>
      <c r="B25" s="195">
        <f>Invånare!B30</f>
        <v>38</v>
      </c>
      <c r="C25" s="268">
        <f>Invånare!C30</f>
        <v>304</v>
      </c>
      <c r="D25" s="195">
        <f>Invånare!D30</f>
        <v>83</v>
      </c>
      <c r="E25" s="195">
        <f>Invånare!E30</f>
        <v>52</v>
      </c>
      <c r="F25" s="195">
        <f>Invånare!F30</f>
        <v>27</v>
      </c>
      <c r="H25" s="85"/>
      <c r="L25" s="101">
        <f>SUM(B25:F25)-Invånare!B9</f>
        <v>0</v>
      </c>
      <c r="N25" s="194" t="s">
        <v>95</v>
      </c>
      <c r="O25" s="195">
        <v>36</v>
      </c>
      <c r="P25" s="268">
        <v>303</v>
      </c>
      <c r="Q25" s="195">
        <v>85</v>
      </c>
      <c r="R25" s="195">
        <v>48</v>
      </c>
      <c r="S25" s="195">
        <v>29</v>
      </c>
    </row>
    <row r="26" spans="1:19" ht="16.5" thickTop="1" thickBot="1">
      <c r="A26" s="196" t="s">
        <v>96</v>
      </c>
      <c r="B26" s="23">
        <f>Invånare!B31</f>
        <v>37</v>
      </c>
      <c r="C26" s="267">
        <f>Invånare!C31</f>
        <v>348</v>
      </c>
      <c r="D26" s="23">
        <f>Invånare!D31</f>
        <v>55</v>
      </c>
      <c r="E26" s="23">
        <f>Invånare!E31</f>
        <v>46</v>
      </c>
      <c r="F26" s="23">
        <f>Invånare!F31</f>
        <v>21</v>
      </c>
      <c r="H26" s="85"/>
      <c r="L26" s="101">
        <f>SUM(B26:F26)-Invånare!B10</f>
        <v>0</v>
      </c>
      <c r="N26" s="196" t="s">
        <v>96</v>
      </c>
      <c r="O26" s="23">
        <v>34</v>
      </c>
      <c r="P26" s="267">
        <v>353</v>
      </c>
      <c r="Q26" s="23">
        <v>53</v>
      </c>
      <c r="R26" s="23">
        <v>44</v>
      </c>
      <c r="S26" s="23">
        <v>21</v>
      </c>
    </row>
    <row r="27" spans="1:19" ht="16.5" thickTop="1" thickBot="1">
      <c r="A27" s="196" t="s">
        <v>97</v>
      </c>
      <c r="B27" s="23">
        <f>Invånare!B32</f>
        <v>108</v>
      </c>
      <c r="C27" s="267">
        <f>Invånare!C32</f>
        <v>1151</v>
      </c>
      <c r="D27" s="23">
        <f>Invånare!D32</f>
        <v>185</v>
      </c>
      <c r="E27" s="23">
        <f>Invånare!E32</f>
        <v>138</v>
      </c>
      <c r="F27" s="23">
        <f>Invånare!F32</f>
        <v>46</v>
      </c>
      <c r="H27" s="85"/>
      <c r="L27" s="101">
        <f>SUM(B27:F27)-Invånare!B11</f>
        <v>0</v>
      </c>
      <c r="N27" s="196" t="s">
        <v>97</v>
      </c>
      <c r="O27" s="23">
        <v>119</v>
      </c>
      <c r="P27" s="267">
        <v>1136</v>
      </c>
      <c r="Q27" s="23">
        <v>195</v>
      </c>
      <c r="R27" s="23">
        <v>123</v>
      </c>
      <c r="S27" s="23">
        <v>46</v>
      </c>
    </row>
    <row r="28" spans="1:19" ht="16.5" thickTop="1" thickBot="1">
      <c r="A28" s="196" t="s">
        <v>98</v>
      </c>
      <c r="B28" s="23">
        <f>Invånare!B33</f>
        <v>535</v>
      </c>
      <c r="C28" s="267">
        <f>Invånare!C33</f>
        <v>4202</v>
      </c>
      <c r="D28" s="23">
        <f>Invånare!D33</f>
        <v>503</v>
      </c>
      <c r="E28" s="23">
        <f>Invånare!E33</f>
        <v>288</v>
      </c>
      <c r="F28" s="23">
        <f>Invånare!F33</f>
        <v>82</v>
      </c>
      <c r="H28" s="85"/>
      <c r="L28" s="101">
        <f>SUM(B28:F28)-Invånare!B12</f>
        <v>0</v>
      </c>
      <c r="N28" s="196" t="s">
        <v>98</v>
      </c>
      <c r="O28" s="23">
        <v>540</v>
      </c>
      <c r="P28" s="267">
        <v>4120</v>
      </c>
      <c r="Q28" s="23">
        <v>508</v>
      </c>
      <c r="R28" s="23">
        <v>268</v>
      </c>
      <c r="S28" s="23">
        <v>76</v>
      </c>
    </row>
    <row r="29" spans="1:19" ht="16.5" thickTop="1" thickBot="1">
      <c r="A29" s="192" t="s">
        <v>99</v>
      </c>
      <c r="B29" s="193">
        <f>Invånare!B34</f>
        <v>15</v>
      </c>
      <c r="C29" s="266">
        <f>Invånare!C34</f>
        <v>165</v>
      </c>
      <c r="D29" s="193">
        <f>Invånare!D34</f>
        <v>70</v>
      </c>
      <c r="E29" s="193">
        <f>Invånare!E34</f>
        <v>31</v>
      </c>
      <c r="F29" s="193">
        <f>Invånare!F34</f>
        <v>25</v>
      </c>
      <c r="H29" s="185"/>
      <c r="I29" s="599"/>
      <c r="J29" s="601"/>
      <c r="L29" s="101">
        <f>SUM(B29:F29)-Invånare!B13</f>
        <v>0</v>
      </c>
      <c r="N29" s="192" t="s">
        <v>99</v>
      </c>
      <c r="O29" s="193">
        <v>18</v>
      </c>
      <c r="P29" s="266">
        <v>173</v>
      </c>
      <c r="Q29" s="193">
        <v>66</v>
      </c>
      <c r="R29" s="193">
        <v>33</v>
      </c>
      <c r="S29" s="193">
        <v>23</v>
      </c>
    </row>
    <row r="30" spans="1:19" ht="16.5" thickTop="1" thickBot="1">
      <c r="A30" s="192" t="s">
        <v>100</v>
      </c>
      <c r="B30" s="193">
        <f>Invånare!B35</f>
        <v>6</v>
      </c>
      <c r="C30" s="266">
        <f>Invånare!C35</f>
        <v>134</v>
      </c>
      <c r="D30" s="193">
        <f>Invånare!D35</f>
        <v>35</v>
      </c>
      <c r="E30" s="193">
        <f>Invånare!E35</f>
        <v>35</v>
      </c>
      <c r="F30" s="193">
        <f>Invånare!F35</f>
        <v>13</v>
      </c>
      <c r="H30" s="185"/>
      <c r="I30" s="600"/>
      <c r="L30" s="101">
        <f>SUM(B30:F30)-Invånare!B14</f>
        <v>0</v>
      </c>
      <c r="N30" s="192" t="s">
        <v>100</v>
      </c>
      <c r="O30" s="193">
        <v>5</v>
      </c>
      <c r="P30" s="266">
        <v>139</v>
      </c>
      <c r="Q30" s="193">
        <v>34</v>
      </c>
      <c r="R30" s="193">
        <v>34</v>
      </c>
      <c r="S30" s="193">
        <v>12</v>
      </c>
    </row>
    <row r="31" spans="1:19" ht="16.5" thickTop="1" thickBot="1">
      <c r="A31" s="196" t="s">
        <v>101</v>
      </c>
      <c r="B31" s="23">
        <f>Invånare!B36</f>
        <v>204</v>
      </c>
      <c r="C31" s="267">
        <f>Invånare!C36</f>
        <v>1512</v>
      </c>
      <c r="D31" s="23">
        <f>Invånare!D36</f>
        <v>230</v>
      </c>
      <c r="E31" s="23">
        <f>Invånare!E36</f>
        <v>149</v>
      </c>
      <c r="F31" s="23">
        <f>Invånare!F36</f>
        <v>36</v>
      </c>
      <c r="H31" s="85"/>
      <c r="L31" s="101">
        <f>SUM(B31:F31)-Invånare!B15</f>
        <v>0</v>
      </c>
      <c r="N31" s="196" t="s">
        <v>101</v>
      </c>
      <c r="O31" s="23">
        <v>215</v>
      </c>
      <c r="P31" s="267">
        <v>1515</v>
      </c>
      <c r="Q31" s="23">
        <v>234</v>
      </c>
      <c r="R31" s="23">
        <v>132</v>
      </c>
      <c r="S31" s="23">
        <v>39</v>
      </c>
    </row>
    <row r="32" spans="1:19" ht="16.5" thickTop="1" thickBot="1">
      <c r="A32" s="196" t="s">
        <v>102</v>
      </c>
      <c r="B32" s="23">
        <f>Invånare!B37</f>
        <v>15</v>
      </c>
      <c r="C32" s="267">
        <f>Invånare!C37</f>
        <v>240</v>
      </c>
      <c r="D32" s="23">
        <f>Invånare!D37</f>
        <v>49</v>
      </c>
      <c r="E32" s="23">
        <f>Invånare!E37</f>
        <v>43</v>
      </c>
      <c r="F32" s="23">
        <f>Invånare!F37</f>
        <v>13</v>
      </c>
      <c r="H32" s="85"/>
      <c r="L32" s="101">
        <f>SUM(B32:F32)-Invånare!B16</f>
        <v>0</v>
      </c>
      <c r="N32" s="196" t="s">
        <v>102</v>
      </c>
      <c r="O32" s="23">
        <v>16</v>
      </c>
      <c r="P32" s="267">
        <v>253</v>
      </c>
      <c r="Q32" s="23">
        <v>55</v>
      </c>
      <c r="R32" s="23">
        <v>38</v>
      </c>
      <c r="S32" s="23">
        <v>14</v>
      </c>
    </row>
    <row r="33" spans="1:20" ht="16.5" thickTop="1" thickBot="1">
      <c r="A33" s="196" t="s">
        <v>103</v>
      </c>
      <c r="B33" s="23">
        <f>Invånare!B38</f>
        <v>115</v>
      </c>
      <c r="C33" s="267">
        <f>Invånare!C38</f>
        <v>1205</v>
      </c>
      <c r="D33" s="23">
        <f>Invånare!D38</f>
        <v>251</v>
      </c>
      <c r="E33" s="23">
        <f>Invånare!E38</f>
        <v>142</v>
      </c>
      <c r="F33" s="23">
        <f>Invånare!F38</f>
        <v>80</v>
      </c>
      <c r="H33" s="85"/>
      <c r="L33" s="101">
        <f>SUM(B33:F33)-Invånare!B17</f>
        <v>0</v>
      </c>
      <c r="N33" s="196" t="s">
        <v>103</v>
      </c>
      <c r="O33" s="23">
        <v>138</v>
      </c>
      <c r="P33" s="267">
        <v>1203</v>
      </c>
      <c r="Q33" s="23">
        <v>257</v>
      </c>
      <c r="R33" s="23">
        <v>139</v>
      </c>
      <c r="S33" s="23">
        <v>73</v>
      </c>
    </row>
    <row r="34" spans="1:20" ht="16.5" thickTop="1" thickBot="1">
      <c r="A34" s="192" t="s">
        <v>104</v>
      </c>
      <c r="B34" s="193">
        <f>Invånare!B39</f>
        <v>11</v>
      </c>
      <c r="C34" s="266">
        <f>Invånare!C39</f>
        <v>62</v>
      </c>
      <c r="D34" s="193">
        <f>Invånare!D39</f>
        <v>20</v>
      </c>
      <c r="E34" s="193">
        <f>Invånare!E39</f>
        <v>14</v>
      </c>
      <c r="F34" s="193">
        <f>Invånare!F39</f>
        <v>4</v>
      </c>
      <c r="H34" s="85"/>
      <c r="L34" s="101">
        <f>SUM(B34:F34)-Invånare!B18</f>
        <v>0</v>
      </c>
      <c r="N34" s="192" t="s">
        <v>104</v>
      </c>
      <c r="O34" s="193">
        <v>9</v>
      </c>
      <c r="P34" s="266">
        <v>59</v>
      </c>
      <c r="Q34" s="193">
        <v>17</v>
      </c>
      <c r="R34" s="193">
        <v>15</v>
      </c>
      <c r="S34" s="193">
        <v>5</v>
      </c>
    </row>
    <row r="35" spans="1:20" ht="16.5" thickTop="1" thickBot="1">
      <c r="A35" s="196" t="s">
        <v>105</v>
      </c>
      <c r="B35" s="23">
        <f>Invånare!B40</f>
        <v>64</v>
      </c>
      <c r="C35" s="267">
        <f>Invånare!C40</f>
        <v>656</v>
      </c>
      <c r="D35" s="23">
        <f>Invånare!D40</f>
        <v>155</v>
      </c>
      <c r="E35" s="23">
        <f>Invånare!E40</f>
        <v>97</v>
      </c>
      <c r="F35" s="23">
        <f>Invånare!F40</f>
        <v>29</v>
      </c>
      <c r="H35" s="85"/>
      <c r="L35" s="101">
        <f>SUM(B35:F35)-Invånare!B19</f>
        <v>0</v>
      </c>
      <c r="N35" s="196" t="s">
        <v>105</v>
      </c>
      <c r="O35" s="23">
        <v>60</v>
      </c>
      <c r="P35" s="267">
        <v>685</v>
      </c>
      <c r="Q35" s="23">
        <v>152</v>
      </c>
      <c r="R35" s="23">
        <v>94</v>
      </c>
      <c r="S35" s="23">
        <v>28</v>
      </c>
    </row>
    <row r="36" spans="1:20" ht="16.5" thickTop="1" thickBot="1">
      <c r="A36" s="194" t="s">
        <v>106</v>
      </c>
      <c r="B36" s="195">
        <f>Invånare!B41</f>
        <v>46</v>
      </c>
      <c r="C36" s="268">
        <f>Invånare!C41</f>
        <v>281</v>
      </c>
      <c r="D36" s="195">
        <f>Invånare!D41</f>
        <v>64</v>
      </c>
      <c r="E36" s="195">
        <f>Invånare!E41</f>
        <v>34</v>
      </c>
      <c r="F36" s="195">
        <f>Invånare!F41</f>
        <v>26</v>
      </c>
      <c r="H36" s="85"/>
      <c r="L36" s="101">
        <f>SUM(B36:F36)-Invånare!B20</f>
        <v>0</v>
      </c>
      <c r="N36" s="194" t="s">
        <v>106</v>
      </c>
      <c r="O36" s="195">
        <v>39</v>
      </c>
      <c r="P36" s="268">
        <v>292</v>
      </c>
      <c r="Q36" s="195">
        <v>63</v>
      </c>
      <c r="R36" s="195">
        <v>41</v>
      </c>
      <c r="S36" s="195">
        <v>28</v>
      </c>
    </row>
    <row r="37" spans="1:20" ht="16.5" thickTop="1" thickBot="1">
      <c r="A37" s="104" t="s">
        <v>107</v>
      </c>
      <c r="B37" s="23">
        <f>Invånare!B42</f>
        <v>653</v>
      </c>
      <c r="C37" s="267">
        <f>Invånare!C42</f>
        <v>8049</v>
      </c>
      <c r="D37" s="23">
        <f>Invånare!D42</f>
        <v>1564</v>
      </c>
      <c r="E37" s="23">
        <f>Invånare!E42</f>
        <v>1095</v>
      </c>
      <c r="F37" s="23">
        <f>Invånare!F42</f>
        <v>396</v>
      </c>
      <c r="H37" s="85"/>
      <c r="L37" s="101">
        <f>SUM(B37:F37)-Invånare!B21</f>
        <v>0</v>
      </c>
      <c r="N37" s="104" t="s">
        <v>107</v>
      </c>
      <c r="O37" s="23">
        <v>662</v>
      </c>
      <c r="P37" s="267">
        <v>8101</v>
      </c>
      <c r="Q37" s="23">
        <v>1564</v>
      </c>
      <c r="R37" s="23">
        <v>1036</v>
      </c>
      <c r="S37" s="23">
        <v>379</v>
      </c>
    </row>
    <row r="38" spans="1:20" ht="16.5" thickTop="1" thickBot="1">
      <c r="A38" s="197" t="s">
        <v>108</v>
      </c>
      <c r="B38" s="198">
        <f t="shared" ref="B38:F38" si="0">SUM(B22:B37)</f>
        <v>2105</v>
      </c>
      <c r="C38" s="269">
        <f t="shared" si="0"/>
        <v>21014</v>
      </c>
      <c r="D38" s="198">
        <f t="shared" si="0"/>
        <v>3803</v>
      </c>
      <c r="E38" s="198">
        <f t="shared" si="0"/>
        <v>2526</v>
      </c>
      <c r="F38" s="198">
        <f t="shared" si="0"/>
        <v>911</v>
      </c>
      <c r="H38" s="93">
        <f>SUM(B38:F38)</f>
        <v>30359</v>
      </c>
      <c r="L38" s="199">
        <f>SUM(L22:L37)</f>
        <v>0</v>
      </c>
      <c r="N38" s="197" t="s">
        <v>108</v>
      </c>
      <c r="O38" s="198">
        <v>2158</v>
      </c>
      <c r="P38" s="269">
        <v>21086</v>
      </c>
      <c r="Q38" s="198">
        <v>3828</v>
      </c>
      <c r="R38" s="198">
        <v>2391</v>
      </c>
      <c r="S38" s="198">
        <v>881</v>
      </c>
    </row>
    <row r="39" spans="1:20" ht="15.75" thickTop="1">
      <c r="A39" s="53"/>
      <c r="B39" s="85"/>
      <c r="C39" s="85"/>
      <c r="D39" s="85"/>
      <c r="E39" s="85"/>
      <c r="F39" s="85"/>
      <c r="H39" s="85"/>
      <c r="L39" s="85"/>
    </row>
    <row r="40" spans="1:20">
      <c r="A40" s="85"/>
      <c r="B40" s="85"/>
      <c r="C40" s="85"/>
      <c r="D40" s="85"/>
      <c r="E40" s="85"/>
      <c r="F40" s="85"/>
      <c r="G40" s="85"/>
      <c r="H40" s="85"/>
    </row>
    <row r="41" spans="1:20">
      <c r="A41" s="104" t="s">
        <v>563</v>
      </c>
      <c r="B41" s="200"/>
      <c r="C41" s="200"/>
      <c r="D41" s="200"/>
      <c r="E41" s="200"/>
      <c r="F41" s="200"/>
      <c r="G41" s="200"/>
      <c r="H41" s="85"/>
      <c r="N41" s="104" t="s">
        <v>564</v>
      </c>
      <c r="O41" s="200"/>
      <c r="P41" s="200"/>
      <c r="Q41" s="200"/>
      <c r="R41" s="200"/>
      <c r="S41" s="200"/>
      <c r="T41" s="200"/>
    </row>
    <row r="42" spans="1:20">
      <c r="A42" s="103"/>
      <c r="B42" s="103" t="s">
        <v>400</v>
      </c>
      <c r="C42" s="264"/>
      <c r="D42" s="103" t="s">
        <v>401</v>
      </c>
      <c r="E42" s="103" t="s">
        <v>402</v>
      </c>
      <c r="F42" s="103" t="s">
        <v>403</v>
      </c>
      <c r="G42" s="201" t="s">
        <v>565</v>
      </c>
      <c r="H42" s="85"/>
      <c r="I42" s="201" t="s">
        <v>566</v>
      </c>
      <c r="N42" s="103"/>
      <c r="O42" s="103"/>
      <c r="P42" s="264"/>
      <c r="Q42" s="103" t="s">
        <v>401</v>
      </c>
      <c r="R42" s="103" t="s">
        <v>402</v>
      </c>
      <c r="S42" s="103" t="s">
        <v>403</v>
      </c>
      <c r="T42" s="201" t="s">
        <v>565</v>
      </c>
    </row>
    <row r="43" spans="1:20">
      <c r="A43" s="202" t="s">
        <v>92</v>
      </c>
      <c r="B43" s="203">
        <f>B9*$E$17*B22</f>
        <v>57408.4908</v>
      </c>
      <c r="C43" s="203"/>
      <c r="D43" s="203">
        <f>D9*$C$17*D22</f>
        <v>35628.310250000002</v>
      </c>
      <c r="E43" s="203">
        <f>E9*$C$17*E22</f>
        <v>97915.090000000011</v>
      </c>
      <c r="F43" s="203">
        <f>F9*$C$17*F22</f>
        <v>111167.47200000001</v>
      </c>
      <c r="G43" s="407">
        <f>ROUND(SUM(D43:F43),2)</f>
        <v>244710.87</v>
      </c>
      <c r="H43" s="85"/>
      <c r="I43" s="302">
        <f>B43</f>
        <v>57408.4908</v>
      </c>
      <c r="N43" s="202" t="s">
        <v>92</v>
      </c>
      <c r="O43" s="203"/>
      <c r="P43" s="203"/>
      <c r="Q43" s="203"/>
      <c r="R43" s="203"/>
      <c r="S43" s="203"/>
      <c r="T43" s="407"/>
    </row>
    <row r="44" spans="1:20">
      <c r="A44" s="149" t="s">
        <v>93</v>
      </c>
      <c r="B44" s="204">
        <f>B9*B23*$E$15</f>
        <v>121509.41040000001</v>
      </c>
      <c r="C44" s="204"/>
      <c r="D44" s="204">
        <f>D9*D23*$C$15</f>
        <v>24104.4175</v>
      </c>
      <c r="E44" s="204">
        <f>E9*E23*$C$15</f>
        <v>59851.943749999999</v>
      </c>
      <c r="F44" s="204">
        <f>F9*F23*$C$15</f>
        <v>96202.62</v>
      </c>
      <c r="G44" s="407">
        <f t="shared" ref="G44:G58" si="1">ROUND(SUM(D44:F44),2)</f>
        <v>180158.98</v>
      </c>
      <c r="H44" s="85"/>
      <c r="I44" s="302">
        <f t="shared" ref="I44:I59" si="2">B44</f>
        <v>121509.41040000001</v>
      </c>
      <c r="N44" s="149" t="s">
        <v>93</v>
      </c>
      <c r="O44" s="204"/>
      <c r="P44" s="204"/>
      <c r="Q44" s="204"/>
      <c r="R44" s="204"/>
      <c r="S44" s="204"/>
      <c r="T44" s="407"/>
    </row>
    <row r="45" spans="1:20">
      <c r="A45" s="149" t="s">
        <v>94</v>
      </c>
      <c r="B45" s="204">
        <f>B9*B24*$E$15</f>
        <v>412264.071</v>
      </c>
      <c r="C45" s="204"/>
      <c r="D45" s="204">
        <f>D9*D24*$C$15</f>
        <v>51180.612499999996</v>
      </c>
      <c r="E45" s="204">
        <f>E9*E24*$C$15</f>
        <v>145931.14374999999</v>
      </c>
      <c r="F45" s="204">
        <f>F9*F24*$C$15</f>
        <v>163009.995</v>
      </c>
      <c r="G45" s="407">
        <f t="shared" si="1"/>
        <v>360121.75</v>
      </c>
      <c r="H45" s="85"/>
      <c r="I45" s="302">
        <f t="shared" si="2"/>
        <v>412264.071</v>
      </c>
      <c r="N45" s="149" t="s">
        <v>94</v>
      </c>
      <c r="O45" s="204"/>
      <c r="P45" s="204"/>
      <c r="Q45" s="204"/>
      <c r="R45" s="204"/>
      <c r="S45" s="204"/>
      <c r="T45" s="407"/>
    </row>
    <row r="46" spans="1:20">
      <c r="A46" s="205" t="s">
        <v>95</v>
      </c>
      <c r="B46" s="206">
        <f>B9*B25*$E$16</f>
        <v>156958.36920000002</v>
      </c>
      <c r="C46" s="206"/>
      <c r="D46" s="206">
        <f>D9*D25*$C$16</f>
        <v>30147.031750000002</v>
      </c>
      <c r="E46" s="206">
        <f>E9*E25*$C$16</f>
        <v>76933.285000000003</v>
      </c>
      <c r="F46" s="206">
        <f>F9*F25*$C$16</f>
        <v>158734.323</v>
      </c>
      <c r="G46" s="407">
        <f t="shared" si="1"/>
        <v>265814.64</v>
      </c>
      <c r="H46" s="85"/>
      <c r="I46" s="302">
        <f t="shared" si="2"/>
        <v>156958.36920000002</v>
      </c>
      <c r="N46" s="205" t="s">
        <v>95</v>
      </c>
      <c r="O46" s="206"/>
      <c r="P46" s="206"/>
      <c r="Q46" s="206"/>
      <c r="R46" s="206"/>
      <c r="S46" s="206"/>
      <c r="T46" s="407"/>
    </row>
    <row r="47" spans="1:20">
      <c r="A47" s="149" t="s">
        <v>96</v>
      </c>
      <c r="B47" s="204">
        <f>B9*B26*$E$15</f>
        <v>80283.003299999997</v>
      </c>
      <c r="C47" s="204"/>
      <c r="D47" s="204">
        <f>D9*D26*$C$15</f>
        <v>9080.4312499999996</v>
      </c>
      <c r="E47" s="204">
        <f>E9*E26*$C$15</f>
        <v>30934.712499999998</v>
      </c>
      <c r="F47" s="204">
        <f>F9*F26*$C$15</f>
        <v>56118.195</v>
      </c>
      <c r="G47" s="407">
        <f t="shared" si="1"/>
        <v>96133.34</v>
      </c>
      <c r="H47" s="85"/>
      <c r="I47" s="302">
        <f t="shared" si="2"/>
        <v>80283.003299999997</v>
      </c>
      <c r="N47" s="149" t="s">
        <v>96</v>
      </c>
      <c r="O47" s="204"/>
      <c r="P47" s="204"/>
      <c r="Q47" s="204"/>
      <c r="R47" s="204"/>
      <c r="S47" s="204"/>
      <c r="T47" s="407"/>
    </row>
    <row r="48" spans="1:20">
      <c r="A48" s="149" t="s">
        <v>97</v>
      </c>
      <c r="B48" s="204">
        <f>B9*B27*$E$15</f>
        <v>234339.5772</v>
      </c>
      <c r="C48" s="204"/>
      <c r="D48" s="204">
        <f>D9*D27*$C$15</f>
        <v>30543.268749999999</v>
      </c>
      <c r="E48" s="204">
        <f>E9*E27*$C$15</f>
        <v>92804.137499999997</v>
      </c>
      <c r="F48" s="204">
        <f>F9*F27*$C$15</f>
        <v>122925.57</v>
      </c>
      <c r="G48" s="407">
        <f t="shared" si="1"/>
        <v>246272.98</v>
      </c>
      <c r="H48" s="85"/>
      <c r="I48" s="302">
        <f t="shared" si="2"/>
        <v>234339.5772</v>
      </c>
      <c r="N48" s="149" t="s">
        <v>97</v>
      </c>
      <c r="O48" s="204"/>
      <c r="P48" s="204"/>
      <c r="Q48" s="204"/>
      <c r="R48" s="204"/>
      <c r="S48" s="204"/>
      <c r="T48" s="407"/>
    </row>
    <row r="49" spans="1:20">
      <c r="A49" s="149" t="s">
        <v>98</v>
      </c>
      <c r="B49" s="204">
        <f>B9*B28*$E$15</f>
        <v>1160848.8315000001</v>
      </c>
      <c r="C49" s="204"/>
      <c r="D49" s="204">
        <f>D9*D28*$C$15</f>
        <v>83044.671249999999</v>
      </c>
      <c r="E49" s="204">
        <f>E9*E28*$C$15</f>
        <v>193678.19999999998</v>
      </c>
      <c r="F49" s="204">
        <f>F9*F28*$C$15</f>
        <v>219128.19</v>
      </c>
      <c r="G49" s="407">
        <f t="shared" si="1"/>
        <v>495851.06</v>
      </c>
      <c r="H49" s="85"/>
      <c r="I49" s="302">
        <f t="shared" si="2"/>
        <v>1160848.8315000001</v>
      </c>
      <c r="N49" s="149" t="s">
        <v>98</v>
      </c>
      <c r="O49" s="204"/>
      <c r="P49" s="204"/>
      <c r="Q49" s="204"/>
      <c r="R49" s="204"/>
      <c r="S49" s="204"/>
      <c r="T49" s="407"/>
    </row>
    <row r="50" spans="1:20">
      <c r="A50" s="202" t="s">
        <v>99</v>
      </c>
      <c r="B50" s="203">
        <f>B9*$E$17*B29</f>
        <v>71760.613500000007</v>
      </c>
      <c r="C50" s="203"/>
      <c r="D50" s="203">
        <f>D9*$C$17*D29</f>
        <v>30047.9725</v>
      </c>
      <c r="E50" s="203">
        <f>E9*$C$17*E29</f>
        <v>54202.996250000004</v>
      </c>
      <c r="F50" s="203">
        <f>F9*$C$17*F29</f>
        <v>173699.17500000002</v>
      </c>
      <c r="G50" s="407">
        <f t="shared" si="1"/>
        <v>257950.14</v>
      </c>
      <c r="H50" s="85"/>
      <c r="I50" s="302">
        <f t="shared" si="2"/>
        <v>71760.613500000007</v>
      </c>
      <c r="N50" s="202" t="s">
        <v>99</v>
      </c>
      <c r="O50" s="203"/>
      <c r="P50" s="203"/>
      <c r="Q50" s="203"/>
      <c r="R50" s="203"/>
      <c r="S50" s="203"/>
      <c r="T50" s="407"/>
    </row>
    <row r="51" spans="1:20">
      <c r="A51" s="202" t="s">
        <v>100</v>
      </c>
      <c r="B51" s="203">
        <f>B9*$E$17*B30</f>
        <v>28704.2454</v>
      </c>
      <c r="C51" s="203"/>
      <c r="D51" s="203">
        <f>D9*$C$17*D30</f>
        <v>15023.98625</v>
      </c>
      <c r="E51" s="203">
        <f>E9*$C$17*E30</f>
        <v>61196.931250000001</v>
      </c>
      <c r="F51" s="203">
        <f>F9*$C$17*F30</f>
        <v>90323.571000000011</v>
      </c>
      <c r="G51" s="407">
        <f t="shared" si="1"/>
        <v>166544.49</v>
      </c>
      <c r="H51" s="85"/>
      <c r="I51" s="302">
        <f t="shared" si="2"/>
        <v>28704.2454</v>
      </c>
      <c r="N51" s="202" t="s">
        <v>100</v>
      </c>
      <c r="O51" s="203"/>
      <c r="P51" s="203"/>
      <c r="Q51" s="203"/>
      <c r="R51" s="203"/>
      <c r="S51" s="203"/>
      <c r="T51" s="407"/>
    </row>
    <row r="52" spans="1:20">
      <c r="A52" s="149" t="s">
        <v>101</v>
      </c>
      <c r="B52" s="204">
        <f>B9*B31*$E$15</f>
        <v>442641.42360000004</v>
      </c>
      <c r="C52" s="204"/>
      <c r="D52" s="204">
        <f>D9*D31*$C$15</f>
        <v>37972.712500000001</v>
      </c>
      <c r="E52" s="204">
        <f>E9*E31*$C$15</f>
        <v>100201.56874999999</v>
      </c>
      <c r="F52" s="204">
        <f>F9*F31*$C$15</f>
        <v>96202.62</v>
      </c>
      <c r="G52" s="407">
        <f t="shared" si="1"/>
        <v>234376.9</v>
      </c>
      <c r="H52" s="85"/>
      <c r="I52" s="302">
        <f t="shared" si="2"/>
        <v>442641.42360000004</v>
      </c>
      <c r="N52" s="149" t="s">
        <v>101</v>
      </c>
      <c r="O52" s="204"/>
      <c r="P52" s="204"/>
      <c r="Q52" s="204"/>
      <c r="R52" s="204"/>
      <c r="S52" s="204"/>
      <c r="T52" s="407"/>
    </row>
    <row r="53" spans="1:20">
      <c r="A53" s="149" t="s">
        <v>102</v>
      </c>
      <c r="B53" s="204">
        <f>B9*B32*$E$15</f>
        <v>32547.163500000002</v>
      </c>
      <c r="C53" s="204"/>
      <c r="D53" s="204">
        <f>D9*D32*$C$15</f>
        <v>8089.8387499999999</v>
      </c>
      <c r="E53" s="204">
        <f>E9*E32*$C$15</f>
        <v>28917.231250000001</v>
      </c>
      <c r="F53" s="204">
        <f>F9*F32*$C$15</f>
        <v>34739.834999999999</v>
      </c>
      <c r="G53" s="407">
        <f t="shared" si="1"/>
        <v>71746.91</v>
      </c>
      <c r="H53" s="85"/>
      <c r="I53" s="302">
        <f t="shared" si="2"/>
        <v>32547.163500000002</v>
      </c>
      <c r="N53" s="149" t="s">
        <v>102</v>
      </c>
      <c r="O53" s="204"/>
      <c r="P53" s="204"/>
      <c r="Q53" s="204"/>
      <c r="R53" s="204"/>
      <c r="S53" s="204"/>
      <c r="T53" s="407"/>
    </row>
    <row r="54" spans="1:20">
      <c r="A54" s="149" t="s">
        <v>103</v>
      </c>
      <c r="B54" s="204">
        <f>B9*B33*$E$15</f>
        <v>249528.25350000002</v>
      </c>
      <c r="C54" s="204"/>
      <c r="D54" s="204">
        <f>D9*D33*$C$15</f>
        <v>41439.786249999997</v>
      </c>
      <c r="E54" s="204">
        <f>E9*E33*$C$15</f>
        <v>95494.112500000003</v>
      </c>
      <c r="F54" s="204">
        <f>F9*F33*$C$15</f>
        <v>213783.6</v>
      </c>
      <c r="G54" s="407">
        <f t="shared" si="1"/>
        <v>350717.5</v>
      </c>
      <c r="H54" s="85"/>
      <c r="I54" s="302">
        <f t="shared" si="2"/>
        <v>249528.25350000002</v>
      </c>
      <c r="N54" s="149" t="s">
        <v>103</v>
      </c>
      <c r="O54" s="204"/>
      <c r="P54" s="204"/>
      <c r="Q54" s="204"/>
      <c r="R54" s="204"/>
      <c r="S54" s="204"/>
      <c r="T54" s="407"/>
    </row>
    <row r="55" spans="1:20">
      <c r="A55" s="202" t="s">
        <v>104</v>
      </c>
      <c r="B55" s="203">
        <f>B9*$E$17*B34</f>
        <v>52624.4499</v>
      </c>
      <c r="C55" s="203"/>
      <c r="D55" s="203">
        <f>D9*$C$17*D34</f>
        <v>8585.1350000000002</v>
      </c>
      <c r="E55" s="203">
        <f>E9*$C$17*E34</f>
        <v>24478.772500000003</v>
      </c>
      <c r="F55" s="203">
        <f>F9*$C$17*F34</f>
        <v>27791.868000000002</v>
      </c>
      <c r="G55" s="407">
        <f t="shared" si="1"/>
        <v>60855.78</v>
      </c>
      <c r="H55" s="85"/>
      <c r="I55" s="302">
        <f t="shared" si="2"/>
        <v>52624.4499</v>
      </c>
      <c r="N55" s="202" t="s">
        <v>104</v>
      </c>
      <c r="O55" s="203"/>
      <c r="P55" s="203"/>
      <c r="Q55" s="203"/>
      <c r="R55" s="203"/>
      <c r="S55" s="203"/>
      <c r="T55" s="407"/>
    </row>
    <row r="56" spans="1:20">
      <c r="A56" s="149" t="s">
        <v>105</v>
      </c>
      <c r="B56" s="204">
        <f>B9*B35*$E$15</f>
        <v>138867.8976</v>
      </c>
      <c r="C56" s="204"/>
      <c r="D56" s="204">
        <f>D9*D35*$C$15</f>
        <v>25590.306249999998</v>
      </c>
      <c r="E56" s="204">
        <f>E9*E35*$C$15</f>
        <v>65231.893749999996</v>
      </c>
      <c r="F56" s="204">
        <f>F9*F35*$C$15</f>
        <v>77496.555000000008</v>
      </c>
      <c r="G56" s="407">
        <f t="shared" si="1"/>
        <v>168318.76</v>
      </c>
      <c r="H56" s="85"/>
      <c r="I56" s="302">
        <f t="shared" si="2"/>
        <v>138867.8976</v>
      </c>
      <c r="N56" s="149" t="s">
        <v>105</v>
      </c>
      <c r="O56" s="204"/>
      <c r="P56" s="204"/>
      <c r="Q56" s="204"/>
      <c r="R56" s="204"/>
      <c r="S56" s="204"/>
      <c r="T56" s="407"/>
    </row>
    <row r="57" spans="1:20">
      <c r="A57" s="207" t="s">
        <v>106</v>
      </c>
      <c r="B57" s="206">
        <f>B9*B36*$E$16</f>
        <v>190002.23640000002</v>
      </c>
      <c r="C57" s="206"/>
      <c r="D57" s="206">
        <f>D9*D36*$C$16</f>
        <v>23245.904000000002</v>
      </c>
      <c r="E57" s="206">
        <f>E9*E36*$C$16</f>
        <v>50302.532500000001</v>
      </c>
      <c r="F57" s="206">
        <f>F9*F36*$C$16</f>
        <v>152855.274</v>
      </c>
      <c r="G57" s="407">
        <f t="shared" si="1"/>
        <v>226403.71</v>
      </c>
      <c r="H57" s="85"/>
      <c r="I57" s="302">
        <f t="shared" si="2"/>
        <v>190002.23640000002</v>
      </c>
      <c r="N57" s="207" t="s">
        <v>106</v>
      </c>
      <c r="O57" s="206"/>
      <c r="P57" s="206"/>
      <c r="Q57" s="206"/>
      <c r="R57" s="206"/>
      <c r="S57" s="206"/>
      <c r="T57" s="407"/>
    </row>
    <row r="58" spans="1:20" ht="15.75" thickBot="1">
      <c r="A58" s="149" t="s">
        <v>107</v>
      </c>
      <c r="B58" s="204">
        <f>B9*B37*$E$15</f>
        <v>1416886.5177</v>
      </c>
      <c r="C58" s="204"/>
      <c r="D58" s="204">
        <f>D9*D37*$C$15</f>
        <v>258214.44500000001</v>
      </c>
      <c r="E58" s="204">
        <f>E9*E37*$C$15</f>
        <v>736380.65625</v>
      </c>
      <c r="F58" s="204">
        <f>F9*F37*$C$15</f>
        <v>1058228.82</v>
      </c>
      <c r="G58" s="407">
        <f t="shared" si="1"/>
        <v>2052823.92</v>
      </c>
      <c r="H58" s="85"/>
      <c r="I58" s="302">
        <f t="shared" si="2"/>
        <v>1416886.5177</v>
      </c>
      <c r="N58" s="149" t="s">
        <v>107</v>
      </c>
      <c r="O58" s="204"/>
      <c r="P58" s="204"/>
      <c r="Q58" s="204"/>
      <c r="R58" s="204"/>
      <c r="S58" s="204"/>
      <c r="T58" s="407"/>
    </row>
    <row r="59" spans="1:20" ht="16.5" thickTop="1" thickBot="1">
      <c r="A59" s="208" t="s">
        <v>108</v>
      </c>
      <c r="B59" s="209">
        <f>SUM(B43:B58)</f>
        <v>4847174.5544999987</v>
      </c>
      <c r="C59" s="158"/>
      <c r="D59" s="209">
        <f t="shared" ref="D59:E59" si="3">SUM(D43:D58)</f>
        <v>711938.82975000003</v>
      </c>
      <c r="E59" s="209">
        <f t="shared" si="3"/>
        <v>1914455.2075</v>
      </c>
      <c r="F59" s="209">
        <f>SUM(F43:F58)</f>
        <v>2852407.6830000002</v>
      </c>
      <c r="G59" s="408">
        <f>SUM(G43:G58)</f>
        <v>5478801.7299999995</v>
      </c>
      <c r="I59" s="303">
        <f t="shared" si="2"/>
        <v>4847174.5544999987</v>
      </c>
      <c r="L59" s="101">
        <f>G59-Sociala!B22</f>
        <v>0</v>
      </c>
      <c r="N59" s="208" t="s">
        <v>108</v>
      </c>
      <c r="O59" s="209"/>
      <c r="P59" s="158"/>
      <c r="Q59" s="209"/>
      <c r="R59" s="209"/>
      <c r="S59" s="209"/>
      <c r="T59" s="408"/>
    </row>
    <row r="60" spans="1:20" ht="15.75" thickTop="1">
      <c r="A60" s="85"/>
      <c r="B60" s="85"/>
      <c r="C60" s="85"/>
      <c r="D60" s="85"/>
      <c r="E60" s="85"/>
      <c r="F60" s="85"/>
      <c r="G60" s="85"/>
      <c r="H60" s="85"/>
    </row>
    <row r="61" spans="1:20">
      <c r="A61" s="85"/>
      <c r="B61" s="85"/>
      <c r="C61" s="85"/>
      <c r="D61" s="85"/>
      <c r="E61" s="85"/>
      <c r="F61" s="85"/>
      <c r="G61" s="85"/>
      <c r="H61" s="85"/>
    </row>
    <row r="62" spans="1:20">
      <c r="A62" s="104" t="s">
        <v>567</v>
      </c>
      <c r="B62" s="200"/>
      <c r="C62" s="200"/>
      <c r="D62" s="200"/>
      <c r="E62" s="200"/>
      <c r="F62" s="200"/>
      <c r="G62" s="200"/>
      <c r="H62" s="85"/>
      <c r="J62" s="356"/>
      <c r="N62" s="104" t="s">
        <v>568</v>
      </c>
      <c r="O62" s="200"/>
      <c r="P62" s="200"/>
      <c r="Q62" s="200"/>
      <c r="R62" s="200"/>
      <c r="S62" s="200"/>
      <c r="T62" s="200"/>
    </row>
    <row r="63" spans="1:20">
      <c r="A63" s="103"/>
      <c r="B63" s="103" t="s">
        <v>400</v>
      </c>
      <c r="C63" s="103"/>
      <c r="D63" s="103" t="s">
        <v>401</v>
      </c>
      <c r="E63" s="103" t="s">
        <v>402</v>
      </c>
      <c r="F63" s="103" t="s">
        <v>403</v>
      </c>
      <c r="G63" s="210" t="s">
        <v>72</v>
      </c>
      <c r="H63" s="85"/>
      <c r="N63" s="103"/>
      <c r="O63" s="103"/>
      <c r="P63" s="103"/>
      <c r="Q63" s="103" t="s">
        <v>401</v>
      </c>
      <c r="R63" s="103" t="s">
        <v>402</v>
      </c>
      <c r="S63" s="103" t="s">
        <v>403</v>
      </c>
      <c r="T63" s="210" t="s">
        <v>72</v>
      </c>
    </row>
    <row r="64" spans="1:20">
      <c r="A64" s="202" t="s">
        <v>92</v>
      </c>
      <c r="B64" s="203">
        <f>$B$9*B22</f>
        <v>156853.79999999999</v>
      </c>
      <c r="C64" s="203"/>
      <c r="D64" s="203">
        <f>$D$9*D22</f>
        <v>109625.56999999999</v>
      </c>
      <c r="E64" s="203">
        <f>$E$9*E22</f>
        <v>301277.2</v>
      </c>
      <c r="F64" s="203">
        <f>$F$9*F22</f>
        <v>342053.76</v>
      </c>
      <c r="G64" s="304">
        <f>ROUND(SUM(B64:F64),2)</f>
        <v>909810.33</v>
      </c>
      <c r="H64" s="85"/>
      <c r="N64" s="202" t="s">
        <v>92</v>
      </c>
      <c r="O64" s="203"/>
      <c r="P64" s="203"/>
      <c r="Q64" s="203"/>
      <c r="R64" s="203"/>
      <c r="S64" s="203"/>
      <c r="T64" s="459"/>
    </row>
    <row r="65" spans="1:20">
      <c r="A65" s="149" t="s">
        <v>93</v>
      </c>
      <c r="B65" s="211">
        <f t="shared" ref="B65:B79" si="4">$B$9*B23</f>
        <v>731984.4</v>
      </c>
      <c r="C65" s="211"/>
      <c r="D65" s="211">
        <f t="shared" ref="D65:D79" si="5">$D$9*D23</f>
        <v>192835.34</v>
      </c>
      <c r="E65" s="211">
        <f t="shared" ref="E65:E79" si="6">$E$9*E23</f>
        <v>478815.55</v>
      </c>
      <c r="F65" s="211">
        <f t="shared" ref="F65:F79" si="7">$F$9*F23</f>
        <v>769620.96</v>
      </c>
      <c r="G65" s="304">
        <f t="shared" ref="G65:G79" si="8">ROUND(SUM(B65:F65),2)</f>
        <v>2173256.25</v>
      </c>
      <c r="H65" s="85"/>
      <c r="N65" s="149" t="s">
        <v>93</v>
      </c>
      <c r="O65" s="211"/>
      <c r="P65" s="211"/>
      <c r="Q65" s="211"/>
      <c r="R65" s="211"/>
      <c r="S65" s="211"/>
      <c r="T65" s="459"/>
    </row>
    <row r="66" spans="1:20">
      <c r="A66" s="149" t="s">
        <v>94</v>
      </c>
      <c r="B66" s="211">
        <f t="shared" si="4"/>
        <v>2483518.5</v>
      </c>
      <c r="C66" s="211"/>
      <c r="D66" s="211">
        <f t="shared" si="5"/>
        <v>409444.89999999997</v>
      </c>
      <c r="E66" s="211">
        <f t="shared" si="6"/>
        <v>1167449.1499999999</v>
      </c>
      <c r="F66" s="211">
        <f t="shared" si="7"/>
        <v>1304079.96</v>
      </c>
      <c r="G66" s="304">
        <f t="shared" si="8"/>
        <v>5364492.51</v>
      </c>
      <c r="H66" s="85"/>
      <c r="N66" s="149" t="s">
        <v>94</v>
      </c>
      <c r="O66" s="211"/>
      <c r="P66" s="211"/>
      <c r="Q66" s="211"/>
      <c r="R66" s="211"/>
      <c r="S66" s="211"/>
      <c r="T66" s="459"/>
    </row>
    <row r="67" spans="1:20">
      <c r="A67" s="205" t="s">
        <v>95</v>
      </c>
      <c r="B67" s="212">
        <f t="shared" si="4"/>
        <v>496703.7</v>
      </c>
      <c r="C67" s="212"/>
      <c r="D67" s="212">
        <f t="shared" si="5"/>
        <v>109625.56999999999</v>
      </c>
      <c r="E67" s="212">
        <f t="shared" si="6"/>
        <v>279757.39999999997</v>
      </c>
      <c r="F67" s="212">
        <f t="shared" si="7"/>
        <v>577215.72</v>
      </c>
      <c r="G67" s="304">
        <f t="shared" si="8"/>
        <v>1463302.39</v>
      </c>
      <c r="H67" s="85"/>
      <c r="N67" s="205" t="s">
        <v>95</v>
      </c>
      <c r="O67" s="212"/>
      <c r="P67" s="212"/>
      <c r="Q67" s="212"/>
      <c r="R67" s="212"/>
      <c r="S67" s="212"/>
      <c r="T67" s="459"/>
    </row>
    <row r="68" spans="1:20">
      <c r="A68" s="149" t="s">
        <v>96</v>
      </c>
      <c r="B68" s="211">
        <f t="shared" si="4"/>
        <v>483632.55</v>
      </c>
      <c r="C68" s="211"/>
      <c r="D68" s="211">
        <f t="shared" si="5"/>
        <v>72643.45</v>
      </c>
      <c r="E68" s="211">
        <f t="shared" si="6"/>
        <v>247477.69999999998</v>
      </c>
      <c r="F68" s="211">
        <f t="shared" si="7"/>
        <v>448945.56</v>
      </c>
      <c r="G68" s="304">
        <f t="shared" si="8"/>
        <v>1252699.26</v>
      </c>
      <c r="H68" s="85"/>
      <c r="N68" s="149" t="s">
        <v>96</v>
      </c>
      <c r="O68" s="211"/>
      <c r="P68" s="211"/>
      <c r="Q68" s="211"/>
      <c r="R68" s="211"/>
      <c r="S68" s="211"/>
      <c r="T68" s="459"/>
    </row>
    <row r="69" spans="1:20">
      <c r="A69" s="149" t="s">
        <v>97</v>
      </c>
      <c r="B69" s="211">
        <f t="shared" si="4"/>
        <v>1411684.2</v>
      </c>
      <c r="C69" s="211"/>
      <c r="D69" s="211">
        <f t="shared" si="5"/>
        <v>244346.15</v>
      </c>
      <c r="E69" s="211">
        <f>$E$9*E27</f>
        <v>742433.1</v>
      </c>
      <c r="F69" s="211">
        <f t="shared" si="7"/>
        <v>983404.56</v>
      </c>
      <c r="G69" s="304">
        <f t="shared" si="8"/>
        <v>3381868.01</v>
      </c>
      <c r="H69" s="85"/>
      <c r="N69" s="149" t="s">
        <v>97</v>
      </c>
      <c r="O69" s="211"/>
      <c r="P69" s="211"/>
      <c r="Q69" s="211"/>
      <c r="R69" s="211"/>
      <c r="S69" s="211"/>
      <c r="T69" s="459"/>
    </row>
    <row r="70" spans="1:20">
      <c r="A70" s="149" t="s">
        <v>98</v>
      </c>
      <c r="B70" s="211">
        <f t="shared" si="4"/>
        <v>6993065.25</v>
      </c>
      <c r="C70" s="211"/>
      <c r="D70" s="211">
        <f t="shared" si="5"/>
        <v>664357.37</v>
      </c>
      <c r="E70" s="211">
        <f t="shared" si="6"/>
        <v>1549425.5999999999</v>
      </c>
      <c r="F70" s="211">
        <f t="shared" si="7"/>
        <v>1753025.52</v>
      </c>
      <c r="G70" s="304">
        <f t="shared" si="8"/>
        <v>10959873.74</v>
      </c>
      <c r="H70" s="85"/>
      <c r="N70" s="149" t="s">
        <v>98</v>
      </c>
      <c r="O70" s="211"/>
      <c r="P70" s="211"/>
      <c r="Q70" s="211"/>
      <c r="R70" s="211"/>
      <c r="S70" s="211"/>
      <c r="T70" s="459"/>
    </row>
    <row r="71" spans="1:20">
      <c r="A71" s="202" t="s">
        <v>99</v>
      </c>
      <c r="B71" s="203">
        <f t="shared" si="4"/>
        <v>196067.25</v>
      </c>
      <c r="C71" s="203"/>
      <c r="D71" s="203">
        <f t="shared" si="5"/>
        <v>92455.3</v>
      </c>
      <c r="E71" s="203">
        <f t="shared" si="6"/>
        <v>166778.44999999998</v>
      </c>
      <c r="F71" s="203">
        <f t="shared" si="7"/>
        <v>534459</v>
      </c>
      <c r="G71" s="304">
        <f t="shared" si="8"/>
        <v>989760</v>
      </c>
      <c r="H71" s="85"/>
      <c r="N71" s="202" t="s">
        <v>99</v>
      </c>
      <c r="O71" s="203"/>
      <c r="P71" s="203"/>
      <c r="Q71" s="203"/>
      <c r="R71" s="203"/>
      <c r="S71" s="203"/>
      <c r="T71" s="459"/>
    </row>
    <row r="72" spans="1:20">
      <c r="A72" s="202" t="s">
        <v>100</v>
      </c>
      <c r="B72" s="203">
        <f t="shared" si="4"/>
        <v>78426.899999999994</v>
      </c>
      <c r="C72" s="203"/>
      <c r="D72" s="203">
        <f t="shared" si="5"/>
        <v>46227.65</v>
      </c>
      <c r="E72" s="203">
        <f t="shared" si="6"/>
        <v>188298.25</v>
      </c>
      <c r="F72" s="203">
        <f t="shared" si="7"/>
        <v>277918.68</v>
      </c>
      <c r="G72" s="304">
        <f t="shared" si="8"/>
        <v>590871.48</v>
      </c>
      <c r="H72" s="85"/>
      <c r="N72" s="202" t="s">
        <v>100</v>
      </c>
      <c r="O72" s="203"/>
      <c r="P72" s="203"/>
      <c r="Q72" s="203"/>
      <c r="R72" s="203"/>
      <c r="S72" s="203"/>
      <c r="T72" s="459"/>
    </row>
    <row r="73" spans="1:20">
      <c r="A73" s="149" t="s">
        <v>101</v>
      </c>
      <c r="B73" s="211">
        <f t="shared" si="4"/>
        <v>2666514.6</v>
      </c>
      <c r="C73" s="211"/>
      <c r="D73" s="211">
        <f t="shared" si="5"/>
        <v>303781.7</v>
      </c>
      <c r="E73" s="211">
        <f t="shared" si="6"/>
        <v>801612.54999999993</v>
      </c>
      <c r="F73" s="211">
        <f t="shared" si="7"/>
        <v>769620.96</v>
      </c>
      <c r="G73" s="304">
        <f t="shared" si="8"/>
        <v>4541529.8099999996</v>
      </c>
      <c r="H73" s="85"/>
      <c r="N73" s="149" t="s">
        <v>101</v>
      </c>
      <c r="O73" s="211"/>
      <c r="P73" s="211"/>
      <c r="Q73" s="211"/>
      <c r="R73" s="211"/>
      <c r="S73" s="211"/>
      <c r="T73" s="459"/>
    </row>
    <row r="74" spans="1:20">
      <c r="A74" s="149" t="s">
        <v>102</v>
      </c>
      <c r="B74" s="211">
        <f t="shared" si="4"/>
        <v>196067.25</v>
      </c>
      <c r="C74" s="211"/>
      <c r="D74" s="211">
        <f t="shared" si="5"/>
        <v>64718.71</v>
      </c>
      <c r="E74" s="211">
        <f t="shared" si="6"/>
        <v>231337.85</v>
      </c>
      <c r="F74" s="211">
        <f t="shared" si="7"/>
        <v>277918.68</v>
      </c>
      <c r="G74" s="304">
        <f t="shared" si="8"/>
        <v>770042.49</v>
      </c>
      <c r="H74" s="85"/>
      <c r="N74" s="149" t="s">
        <v>102</v>
      </c>
      <c r="O74" s="211"/>
      <c r="P74" s="211"/>
      <c r="Q74" s="211"/>
      <c r="R74" s="211"/>
      <c r="S74" s="211"/>
      <c r="T74" s="459"/>
    </row>
    <row r="75" spans="1:20">
      <c r="A75" s="149" t="s">
        <v>103</v>
      </c>
      <c r="B75" s="211">
        <f t="shared" si="4"/>
        <v>1503182.25</v>
      </c>
      <c r="C75" s="211"/>
      <c r="D75" s="211">
        <f t="shared" si="5"/>
        <v>331518.28999999998</v>
      </c>
      <c r="E75" s="211">
        <f t="shared" si="6"/>
        <v>763952.9</v>
      </c>
      <c r="F75" s="211">
        <f t="shared" si="7"/>
        <v>1710268.8</v>
      </c>
      <c r="G75" s="304">
        <f t="shared" si="8"/>
        <v>4308922.24</v>
      </c>
      <c r="H75" s="85"/>
      <c r="N75" s="149" t="s">
        <v>103</v>
      </c>
      <c r="O75" s="211"/>
      <c r="P75" s="211"/>
      <c r="Q75" s="211"/>
      <c r="R75" s="211"/>
      <c r="S75" s="211"/>
      <c r="T75" s="459"/>
    </row>
    <row r="76" spans="1:20">
      <c r="A76" s="202" t="s">
        <v>104</v>
      </c>
      <c r="B76" s="203">
        <f t="shared" si="4"/>
        <v>143782.65</v>
      </c>
      <c r="C76" s="203"/>
      <c r="D76" s="203">
        <f t="shared" si="5"/>
        <v>26415.8</v>
      </c>
      <c r="E76" s="203">
        <f t="shared" si="6"/>
        <v>75319.3</v>
      </c>
      <c r="F76" s="203">
        <f t="shared" si="7"/>
        <v>85513.44</v>
      </c>
      <c r="G76" s="304">
        <f t="shared" si="8"/>
        <v>331031.19</v>
      </c>
      <c r="H76" s="85"/>
      <c r="N76" s="202" t="s">
        <v>104</v>
      </c>
      <c r="O76" s="203"/>
      <c r="P76" s="203"/>
      <c r="Q76" s="203"/>
      <c r="R76" s="203"/>
      <c r="S76" s="203"/>
      <c r="T76" s="459"/>
    </row>
    <row r="77" spans="1:20">
      <c r="A77" s="149" t="s">
        <v>105</v>
      </c>
      <c r="B77" s="211">
        <f t="shared" si="4"/>
        <v>836553.6</v>
      </c>
      <c r="C77" s="211"/>
      <c r="D77" s="211">
        <f t="shared" si="5"/>
        <v>204722.44999999998</v>
      </c>
      <c r="E77" s="211">
        <f t="shared" si="6"/>
        <v>521855.14999999997</v>
      </c>
      <c r="F77" s="211">
        <f t="shared" si="7"/>
        <v>619972.44000000006</v>
      </c>
      <c r="G77" s="304">
        <f t="shared" si="8"/>
        <v>2183103.64</v>
      </c>
      <c r="H77" s="85"/>
      <c r="N77" s="149" t="s">
        <v>105</v>
      </c>
      <c r="O77" s="211"/>
      <c r="P77" s="211"/>
      <c r="Q77" s="211"/>
      <c r="R77" s="211"/>
      <c r="S77" s="211"/>
      <c r="T77" s="459"/>
    </row>
    <row r="78" spans="1:20">
      <c r="A78" s="207" t="s">
        <v>106</v>
      </c>
      <c r="B78" s="212">
        <f t="shared" si="4"/>
        <v>601272.9</v>
      </c>
      <c r="C78" s="212"/>
      <c r="D78" s="212">
        <f t="shared" si="5"/>
        <v>84530.559999999998</v>
      </c>
      <c r="E78" s="212">
        <f t="shared" si="6"/>
        <v>182918.3</v>
      </c>
      <c r="F78" s="212">
        <f t="shared" si="7"/>
        <v>555837.36</v>
      </c>
      <c r="G78" s="304">
        <f t="shared" si="8"/>
        <v>1424559.12</v>
      </c>
      <c r="H78" s="85"/>
      <c r="N78" s="207" t="s">
        <v>106</v>
      </c>
      <c r="O78" s="212"/>
      <c r="P78" s="212"/>
      <c r="Q78" s="212"/>
      <c r="R78" s="212"/>
      <c r="S78" s="212"/>
      <c r="T78" s="459"/>
    </row>
    <row r="79" spans="1:20">
      <c r="A79" s="149" t="s">
        <v>107</v>
      </c>
      <c r="B79" s="211">
        <f t="shared" si="4"/>
        <v>8535460.9499999993</v>
      </c>
      <c r="C79" s="211"/>
      <c r="D79" s="211">
        <f t="shared" si="5"/>
        <v>2065715.56</v>
      </c>
      <c r="E79" s="211">
        <f t="shared" si="6"/>
        <v>5891045.25</v>
      </c>
      <c r="F79" s="211">
        <f t="shared" si="7"/>
        <v>8465830.5600000005</v>
      </c>
      <c r="G79" s="304">
        <f t="shared" si="8"/>
        <v>24958052.32</v>
      </c>
      <c r="H79" s="85"/>
      <c r="N79" s="149" t="s">
        <v>107</v>
      </c>
      <c r="O79" s="211"/>
      <c r="P79" s="211"/>
      <c r="Q79" s="211"/>
      <c r="R79" s="211"/>
      <c r="S79" s="405"/>
      <c r="T79" s="460"/>
    </row>
    <row r="80" spans="1:20" ht="15.75" thickBot="1">
      <c r="A80" s="208" t="s">
        <v>108</v>
      </c>
      <c r="B80" s="209"/>
      <c r="C80" s="158"/>
      <c r="D80" s="158"/>
      <c r="E80" s="158"/>
      <c r="F80" s="158"/>
      <c r="G80" s="213">
        <f>SUM(G64:G79)</f>
        <v>65603174.779999994</v>
      </c>
      <c r="H80" s="85"/>
      <c r="I80" s="2"/>
      <c r="N80" s="208" t="s">
        <v>108</v>
      </c>
      <c r="O80" s="249"/>
      <c r="P80" s="197"/>
      <c r="Q80" s="249"/>
      <c r="R80" s="249"/>
      <c r="S80" s="97"/>
      <c r="T80" s="461"/>
    </row>
    <row r="81" spans="1:6" ht="15.75" thickTop="1"/>
    <row r="91" spans="1:6">
      <c r="A91" s="104" t="s">
        <v>569</v>
      </c>
      <c r="B91" s="214"/>
      <c r="C91" s="214"/>
      <c r="D91" s="214"/>
      <c r="E91" s="214"/>
      <c r="F91" s="214"/>
    </row>
    <row r="92" spans="1:6">
      <c r="A92" s="214"/>
      <c r="B92" s="409"/>
      <c r="C92" s="409"/>
      <c r="D92" s="409"/>
      <c r="E92" s="409"/>
      <c r="F92" s="214"/>
    </row>
    <row r="93" spans="1:6" ht="38.25">
      <c r="A93" s="502"/>
      <c r="B93" s="503" t="s">
        <v>570</v>
      </c>
      <c r="C93" s="503" t="s">
        <v>571</v>
      </c>
      <c r="D93" s="503" t="s">
        <v>572</v>
      </c>
      <c r="E93" s="503" t="s">
        <v>573</v>
      </c>
      <c r="F93" s="504" t="s">
        <v>574</v>
      </c>
    </row>
    <row r="94" spans="1:6">
      <c r="A94" s="505" t="s">
        <v>92</v>
      </c>
      <c r="B94" s="506">
        <v>283</v>
      </c>
      <c r="C94" s="506">
        <v>629</v>
      </c>
      <c r="D94" s="506">
        <v>29</v>
      </c>
      <c r="E94" s="506">
        <v>205</v>
      </c>
      <c r="F94" s="507">
        <f>SUM(B94:E94)</f>
        <v>1146</v>
      </c>
    </row>
    <row r="95" spans="1:6">
      <c r="A95" s="505" t="s">
        <v>93</v>
      </c>
      <c r="B95" s="506">
        <v>153</v>
      </c>
      <c r="C95" s="506">
        <v>769</v>
      </c>
      <c r="D95" s="506">
        <v>143</v>
      </c>
      <c r="E95" s="506">
        <v>79</v>
      </c>
      <c r="F95" s="507">
        <f t="shared" ref="F95:F110" si="9">SUM(B95:E95)</f>
        <v>1144</v>
      </c>
    </row>
    <row r="96" spans="1:6">
      <c r="A96" s="505" t="s">
        <v>94</v>
      </c>
      <c r="B96" s="506">
        <v>743</v>
      </c>
      <c r="C96" s="506">
        <v>1337</v>
      </c>
      <c r="D96" s="506">
        <v>78</v>
      </c>
      <c r="E96" s="506">
        <v>450</v>
      </c>
      <c r="F96" s="507">
        <f t="shared" si="9"/>
        <v>2608</v>
      </c>
    </row>
    <row r="97" spans="1:6">
      <c r="A97" s="505" t="s">
        <v>95</v>
      </c>
      <c r="B97" s="506">
        <v>81</v>
      </c>
      <c r="C97" s="506">
        <v>907</v>
      </c>
      <c r="D97" s="506">
        <v>2</v>
      </c>
      <c r="E97" s="506">
        <v>209</v>
      </c>
      <c r="F97" s="507">
        <f t="shared" si="9"/>
        <v>1199</v>
      </c>
    </row>
    <row r="98" spans="1:6">
      <c r="A98" s="505" t="s">
        <v>96</v>
      </c>
      <c r="B98" s="506">
        <v>82</v>
      </c>
      <c r="C98" s="506">
        <v>688</v>
      </c>
      <c r="D98" s="506">
        <v>2</v>
      </c>
      <c r="E98" s="506">
        <v>12</v>
      </c>
      <c r="F98" s="507">
        <f t="shared" si="9"/>
        <v>784</v>
      </c>
    </row>
    <row r="99" spans="1:6">
      <c r="A99" s="505" t="s">
        <v>97</v>
      </c>
      <c r="B99" s="506">
        <v>457</v>
      </c>
      <c r="C99" s="506">
        <v>764</v>
      </c>
      <c r="D99" s="506">
        <v>257</v>
      </c>
      <c r="E99" s="506">
        <v>73</v>
      </c>
      <c r="F99" s="507">
        <f t="shared" si="9"/>
        <v>1551</v>
      </c>
    </row>
    <row r="100" spans="1:6">
      <c r="A100" s="505" t="s">
        <v>98</v>
      </c>
      <c r="B100" s="506">
        <v>596</v>
      </c>
      <c r="C100" s="506">
        <v>1084</v>
      </c>
      <c r="D100" s="506">
        <v>221</v>
      </c>
      <c r="E100" s="506">
        <v>787</v>
      </c>
      <c r="F100" s="507">
        <f t="shared" si="9"/>
        <v>2688</v>
      </c>
    </row>
    <row r="101" spans="1:6">
      <c r="A101" s="505" t="s">
        <v>99</v>
      </c>
      <c r="B101" s="506">
        <v>46</v>
      </c>
      <c r="C101" s="506">
        <v>694</v>
      </c>
      <c r="D101" s="506">
        <v>11</v>
      </c>
      <c r="E101" s="506">
        <v>9</v>
      </c>
      <c r="F101" s="507">
        <f t="shared" si="9"/>
        <v>760</v>
      </c>
    </row>
    <row r="102" spans="1:6">
      <c r="A102" s="505" t="s">
        <v>100</v>
      </c>
      <c r="B102" s="506">
        <v>-24</v>
      </c>
      <c r="C102" s="506">
        <v>586</v>
      </c>
      <c r="D102" s="506">
        <v>1</v>
      </c>
      <c r="E102" s="506">
        <v>6</v>
      </c>
      <c r="F102" s="507">
        <f t="shared" si="9"/>
        <v>569</v>
      </c>
    </row>
    <row r="103" spans="1:6">
      <c r="A103" s="505" t="s">
        <v>101</v>
      </c>
      <c r="B103" s="506">
        <v>266</v>
      </c>
      <c r="C103" s="506">
        <v>1251</v>
      </c>
      <c r="D103" s="506">
        <v>79</v>
      </c>
      <c r="E103" s="506">
        <v>134</v>
      </c>
      <c r="F103" s="507">
        <f t="shared" si="9"/>
        <v>1730</v>
      </c>
    </row>
    <row r="104" spans="1:6">
      <c r="A104" s="505" t="s">
        <v>102</v>
      </c>
      <c r="B104" s="506">
        <v>102</v>
      </c>
      <c r="C104" s="506">
        <v>439</v>
      </c>
      <c r="D104" s="506">
        <v>76</v>
      </c>
      <c r="E104" s="506">
        <v>29</v>
      </c>
      <c r="F104" s="507">
        <f t="shared" si="9"/>
        <v>646</v>
      </c>
    </row>
    <row r="105" spans="1:6">
      <c r="A105" s="505" t="s">
        <v>103</v>
      </c>
      <c r="B105" s="506">
        <v>1041</v>
      </c>
      <c r="C105" s="506">
        <v>174</v>
      </c>
      <c r="D105" s="506">
        <v>36</v>
      </c>
      <c r="E105" s="506">
        <v>347</v>
      </c>
      <c r="F105" s="507">
        <f t="shared" si="9"/>
        <v>1598</v>
      </c>
    </row>
    <row r="106" spans="1:6">
      <c r="A106" s="505" t="s">
        <v>104</v>
      </c>
      <c r="B106" s="506">
        <v>312</v>
      </c>
      <c r="C106" s="506">
        <v>0</v>
      </c>
      <c r="D106" s="506">
        <v>2</v>
      </c>
      <c r="E106" s="506">
        <v>3</v>
      </c>
      <c r="F106" s="507">
        <f t="shared" si="9"/>
        <v>317</v>
      </c>
    </row>
    <row r="107" spans="1:6">
      <c r="A107" s="505" t="s">
        <v>105</v>
      </c>
      <c r="B107" s="506">
        <v>142</v>
      </c>
      <c r="C107" s="506">
        <v>966</v>
      </c>
      <c r="D107" s="506">
        <v>63</v>
      </c>
      <c r="E107" s="506">
        <v>38</v>
      </c>
      <c r="F107" s="507">
        <f t="shared" si="9"/>
        <v>1209</v>
      </c>
    </row>
    <row r="108" spans="1:6">
      <c r="A108" s="505" t="s">
        <v>106</v>
      </c>
      <c r="B108" s="506">
        <v>173</v>
      </c>
      <c r="C108" s="506">
        <v>916</v>
      </c>
      <c r="D108" s="506">
        <v>20</v>
      </c>
      <c r="E108" s="506">
        <v>11</v>
      </c>
      <c r="F108" s="507">
        <f t="shared" si="9"/>
        <v>1120</v>
      </c>
    </row>
    <row r="109" spans="1:6">
      <c r="A109" s="508" t="s">
        <v>107</v>
      </c>
      <c r="B109" s="509">
        <v>4608</v>
      </c>
      <c r="C109" s="509">
        <v>6140</v>
      </c>
      <c r="D109" s="509">
        <v>57</v>
      </c>
      <c r="E109" s="509">
        <v>3021</v>
      </c>
      <c r="F109" s="510">
        <f t="shared" si="9"/>
        <v>13826</v>
      </c>
    </row>
    <row r="110" spans="1:6">
      <c r="A110" s="505" t="s">
        <v>108</v>
      </c>
      <c r="B110" s="511">
        <v>9061</v>
      </c>
      <c r="C110" s="511">
        <v>17344</v>
      </c>
      <c r="D110" s="511">
        <v>1077</v>
      </c>
      <c r="E110" s="511">
        <v>5413</v>
      </c>
      <c r="F110" s="507">
        <f t="shared" si="9"/>
        <v>32895</v>
      </c>
    </row>
    <row r="115" spans="1:6">
      <c r="A115" s="104" t="s">
        <v>575</v>
      </c>
      <c r="B115" s="214"/>
      <c r="C115" s="214"/>
      <c r="D115" s="214"/>
      <c r="E115" s="214"/>
      <c r="F115" s="214"/>
    </row>
    <row r="116" spans="1:6">
      <c r="A116" s="214"/>
      <c r="B116" s="409"/>
      <c r="C116" s="409"/>
      <c r="D116" s="409"/>
      <c r="E116" s="409"/>
      <c r="F116" s="214"/>
    </row>
    <row r="117" spans="1:6" ht="36">
      <c r="A117" s="190"/>
      <c r="B117" s="410" t="s">
        <v>570</v>
      </c>
      <c r="C117" s="410" t="s">
        <v>571</v>
      </c>
      <c r="D117" s="410" t="s">
        <v>572</v>
      </c>
      <c r="E117" s="410" t="s">
        <v>573</v>
      </c>
      <c r="F117" s="219" t="s">
        <v>574</v>
      </c>
    </row>
    <row r="118" spans="1:6">
      <c r="A118" s="149" t="s">
        <v>92</v>
      </c>
      <c r="B118" s="152">
        <v>122</v>
      </c>
      <c r="C118" s="152">
        <v>412</v>
      </c>
      <c r="D118" s="152">
        <v>78</v>
      </c>
      <c r="E118" s="152">
        <v>125</v>
      </c>
      <c r="F118" s="113">
        <v>737</v>
      </c>
    </row>
    <row r="119" spans="1:6">
      <c r="A119" s="149" t="s">
        <v>93</v>
      </c>
      <c r="B119" s="152">
        <v>20</v>
      </c>
      <c r="C119" s="152">
        <v>803</v>
      </c>
      <c r="D119" s="152">
        <v>153</v>
      </c>
      <c r="E119" s="152">
        <v>56</v>
      </c>
      <c r="F119" s="113">
        <v>1032</v>
      </c>
    </row>
    <row r="120" spans="1:6">
      <c r="A120" s="149" t="s">
        <v>94</v>
      </c>
      <c r="B120" s="152">
        <v>1056</v>
      </c>
      <c r="C120" s="152">
        <v>1101</v>
      </c>
      <c r="D120" s="152">
        <v>0</v>
      </c>
      <c r="E120" s="152">
        <v>292</v>
      </c>
      <c r="F120" s="113">
        <v>2449</v>
      </c>
    </row>
    <row r="121" spans="1:6">
      <c r="A121" s="149" t="s">
        <v>95</v>
      </c>
      <c r="B121" s="152">
        <v>0</v>
      </c>
      <c r="C121" s="152">
        <v>878</v>
      </c>
      <c r="D121" s="152">
        <v>33</v>
      </c>
      <c r="E121" s="152">
        <v>194</v>
      </c>
      <c r="F121" s="113">
        <v>1105</v>
      </c>
    </row>
    <row r="122" spans="1:6">
      <c r="A122" s="149" t="s">
        <v>96</v>
      </c>
      <c r="B122" s="152">
        <v>216</v>
      </c>
      <c r="C122" s="152">
        <v>695</v>
      </c>
      <c r="D122" s="152">
        <v>0</v>
      </c>
      <c r="E122" s="152">
        <v>0</v>
      </c>
      <c r="F122" s="113">
        <v>911</v>
      </c>
    </row>
    <row r="123" spans="1:6">
      <c r="A123" s="149" t="s">
        <v>97</v>
      </c>
      <c r="B123" s="152">
        <v>446</v>
      </c>
      <c r="C123" s="152">
        <v>775</v>
      </c>
      <c r="D123" s="152">
        <v>217</v>
      </c>
      <c r="E123" s="152">
        <v>32</v>
      </c>
      <c r="F123" s="113">
        <v>1470</v>
      </c>
    </row>
    <row r="124" spans="1:6">
      <c r="A124" s="149" t="s">
        <v>98</v>
      </c>
      <c r="B124" s="152">
        <v>1143</v>
      </c>
      <c r="C124" s="152">
        <v>426</v>
      </c>
      <c r="D124" s="152">
        <v>623</v>
      </c>
      <c r="E124" s="152">
        <v>532</v>
      </c>
      <c r="F124" s="113">
        <v>2724</v>
      </c>
    </row>
    <row r="125" spans="1:6">
      <c r="A125" s="149" t="s">
        <v>99</v>
      </c>
      <c r="B125" s="152">
        <v>7</v>
      </c>
      <c r="C125" s="152">
        <v>130</v>
      </c>
      <c r="D125" s="152">
        <v>11</v>
      </c>
      <c r="E125" s="152">
        <v>328</v>
      </c>
      <c r="F125" s="113">
        <v>476</v>
      </c>
    </row>
    <row r="126" spans="1:6">
      <c r="A126" s="149" t="s">
        <v>100</v>
      </c>
      <c r="B126" s="152">
        <v>62</v>
      </c>
      <c r="C126" s="152">
        <v>524</v>
      </c>
      <c r="D126" s="152">
        <v>12</v>
      </c>
      <c r="E126" s="152">
        <v>0</v>
      </c>
      <c r="F126" s="113">
        <v>598</v>
      </c>
    </row>
    <row r="127" spans="1:6">
      <c r="A127" s="149" t="s">
        <v>101</v>
      </c>
      <c r="B127" s="152">
        <v>284</v>
      </c>
      <c r="C127" s="152">
        <v>0</v>
      </c>
      <c r="D127" s="152">
        <v>0</v>
      </c>
      <c r="E127" s="152">
        <v>957</v>
      </c>
      <c r="F127" s="113">
        <v>1241</v>
      </c>
    </row>
    <row r="128" spans="1:6">
      <c r="A128" s="149" t="s">
        <v>102</v>
      </c>
      <c r="B128" s="152">
        <v>41</v>
      </c>
      <c r="C128" s="152">
        <v>560</v>
      </c>
      <c r="D128" s="152">
        <v>0</v>
      </c>
      <c r="E128" s="152">
        <v>30</v>
      </c>
      <c r="F128" s="113">
        <v>631</v>
      </c>
    </row>
    <row r="129" spans="1:6">
      <c r="A129" s="149" t="s">
        <v>103</v>
      </c>
      <c r="B129" s="152">
        <v>1960</v>
      </c>
      <c r="C129" s="152">
        <v>0</v>
      </c>
      <c r="D129" s="152">
        <v>109</v>
      </c>
      <c r="E129" s="152">
        <v>308</v>
      </c>
      <c r="F129" s="113">
        <v>2377</v>
      </c>
    </row>
    <row r="130" spans="1:6">
      <c r="A130" s="149" t="s">
        <v>104</v>
      </c>
      <c r="B130" s="152">
        <v>0</v>
      </c>
      <c r="C130" s="152">
        <v>335</v>
      </c>
      <c r="D130" s="152">
        <v>1</v>
      </c>
      <c r="E130" s="152">
        <v>46</v>
      </c>
      <c r="F130" s="113">
        <v>382</v>
      </c>
    </row>
    <row r="131" spans="1:6">
      <c r="A131" s="149" t="s">
        <v>105</v>
      </c>
      <c r="B131" s="152">
        <v>169</v>
      </c>
      <c r="C131" s="152">
        <v>1160</v>
      </c>
      <c r="D131" s="152">
        <v>85</v>
      </c>
      <c r="E131" s="152">
        <v>96</v>
      </c>
      <c r="F131" s="113">
        <v>1510</v>
      </c>
    </row>
    <row r="132" spans="1:6">
      <c r="A132" s="149" t="s">
        <v>106</v>
      </c>
      <c r="B132" s="152">
        <v>165</v>
      </c>
      <c r="C132" s="152">
        <v>768</v>
      </c>
      <c r="D132" s="152">
        <v>14</v>
      </c>
      <c r="E132" s="152">
        <v>92</v>
      </c>
      <c r="F132" s="113">
        <v>1039</v>
      </c>
    </row>
    <row r="133" spans="1:6">
      <c r="A133" s="155" t="s">
        <v>107</v>
      </c>
      <c r="B133" s="156">
        <v>3959</v>
      </c>
      <c r="C133" s="156">
        <v>5086</v>
      </c>
      <c r="D133" s="156">
        <v>658</v>
      </c>
      <c r="E133" s="156">
        <v>2175</v>
      </c>
      <c r="F133" s="114">
        <v>11878</v>
      </c>
    </row>
    <row r="134" spans="1:6">
      <c r="A134" s="149" t="s">
        <v>108</v>
      </c>
      <c r="B134" s="157">
        <v>9650</v>
      </c>
      <c r="C134" s="157">
        <v>13653</v>
      </c>
      <c r="D134" s="157">
        <v>1994</v>
      </c>
      <c r="E134" s="157">
        <v>5263</v>
      </c>
      <c r="F134" s="223">
        <v>30560</v>
      </c>
    </row>
  </sheetData>
  <pageMargins left="0.7" right="0.7" top="0.75" bottom="0.75" header="0.3" footer="0.3"/>
  <pageSetup paperSize="9" scale="76" orientation="portrait" r:id="rId1"/>
  <rowBreaks count="1" manualBreakCount="1">
    <brk id="4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JI193"/>
  <sheetViews>
    <sheetView topLeftCell="A17" zoomScale="90" zoomScaleNormal="90" zoomScalePageLayoutView="91" workbookViewId="0">
      <selection activeCell="D8" sqref="D8"/>
    </sheetView>
  </sheetViews>
  <sheetFormatPr defaultRowHeight="15"/>
  <cols>
    <col min="1" max="1" width="16" customWidth="1"/>
    <col min="2" max="2" width="9.77734375" customWidth="1"/>
    <col min="3" max="3" width="10.44140625" customWidth="1"/>
    <col min="4" max="4" width="9.77734375" customWidth="1"/>
    <col min="5" max="5" width="11.6640625" customWidth="1"/>
    <col min="6" max="6" width="13" customWidth="1"/>
    <col min="7" max="7" width="10.6640625" customWidth="1"/>
    <col min="8" max="8" width="10.5546875" customWidth="1"/>
    <col min="9" max="9" width="9.77734375" customWidth="1"/>
    <col min="10" max="11" width="12.5546875" customWidth="1"/>
    <col min="12" max="12" width="10.77734375" customWidth="1"/>
    <col min="13" max="13" width="9.88671875" bestFit="1" customWidth="1"/>
    <col min="14" max="14" width="13.109375" customWidth="1"/>
    <col min="15" max="15" width="10" customWidth="1"/>
    <col min="17" max="17" width="12.109375" customWidth="1"/>
    <col min="19" max="19" width="10" customWidth="1"/>
    <col min="21" max="21" width="10.5546875" customWidth="1"/>
    <col min="23" max="23" width="10.5546875" customWidth="1"/>
    <col min="24" max="24" width="11.88671875" customWidth="1"/>
  </cols>
  <sheetData>
    <row r="1" spans="1:269" ht="15.75">
      <c r="A1" s="11" t="s">
        <v>576</v>
      </c>
    </row>
    <row r="2" spans="1:269" ht="15.75">
      <c r="A2" s="3" t="s">
        <v>577</v>
      </c>
    </row>
    <row r="3" spans="1:269" ht="15.75">
      <c r="A3" s="3"/>
      <c r="B3" s="79"/>
    </row>
    <row r="4" spans="1:269">
      <c r="A4" s="53" t="s">
        <v>578</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4"/>
      <c r="CZ4" s="214"/>
      <c r="DA4" s="214"/>
      <c r="DB4" s="214"/>
      <c r="DC4" s="214"/>
      <c r="DD4" s="214"/>
      <c r="DE4" s="214"/>
      <c r="DF4" s="214"/>
      <c r="DG4" s="214"/>
      <c r="DH4" s="214"/>
      <c r="DI4" s="214"/>
      <c r="DJ4" s="214"/>
      <c r="DK4" s="214"/>
      <c r="DL4" s="214"/>
      <c r="DM4" s="214"/>
      <c r="DN4" s="214"/>
      <c r="DO4" s="214"/>
      <c r="DP4" s="214"/>
      <c r="DQ4" s="214"/>
      <c r="DR4" s="214"/>
      <c r="DS4" s="214"/>
      <c r="DT4" s="214"/>
      <c r="DU4" s="214"/>
      <c r="DV4" s="214"/>
      <c r="DW4" s="214"/>
      <c r="DX4" s="214"/>
      <c r="DY4" s="214"/>
      <c r="DZ4" s="214"/>
      <c r="EA4" s="214"/>
      <c r="EB4" s="214"/>
      <c r="EC4" s="214"/>
      <c r="ED4" s="214"/>
      <c r="EE4" s="214"/>
      <c r="EF4" s="214"/>
      <c r="EG4" s="214"/>
      <c r="EH4" s="214"/>
      <c r="EI4" s="214"/>
      <c r="EJ4" s="214"/>
      <c r="EK4" s="214"/>
      <c r="EL4" s="214"/>
      <c r="EM4" s="214"/>
      <c r="EN4" s="214"/>
      <c r="EO4" s="214"/>
      <c r="EP4" s="214"/>
      <c r="EQ4" s="214"/>
      <c r="ER4" s="214"/>
      <c r="ES4" s="214"/>
      <c r="ET4" s="214"/>
      <c r="EU4" s="214"/>
      <c r="EV4" s="214"/>
      <c r="EW4" s="214"/>
      <c r="EX4" s="214"/>
      <c r="EY4" s="214"/>
      <c r="EZ4" s="214"/>
      <c r="FA4" s="214"/>
      <c r="FB4" s="214"/>
      <c r="FC4" s="214"/>
      <c r="FD4" s="214"/>
      <c r="FE4" s="214"/>
      <c r="FF4" s="214"/>
      <c r="FG4" s="214"/>
      <c r="FH4" s="214"/>
      <c r="FI4" s="214"/>
      <c r="FJ4" s="214"/>
      <c r="FK4" s="214"/>
      <c r="FL4" s="214"/>
      <c r="FM4" s="214"/>
      <c r="FN4" s="214"/>
      <c r="FO4" s="214"/>
      <c r="FP4" s="214"/>
      <c r="FQ4" s="214"/>
      <c r="FR4" s="214"/>
      <c r="FS4" s="214"/>
      <c r="FT4" s="214"/>
      <c r="FU4" s="214"/>
      <c r="FV4" s="214"/>
      <c r="FW4" s="214"/>
      <c r="FX4" s="214"/>
      <c r="FY4" s="214"/>
      <c r="FZ4" s="214"/>
      <c r="GA4" s="214"/>
      <c r="GB4" s="214"/>
      <c r="GC4" s="214"/>
      <c r="GD4" s="214"/>
      <c r="GE4" s="214"/>
      <c r="GF4" s="214"/>
      <c r="GG4" s="214"/>
      <c r="GH4" s="214"/>
      <c r="GI4" s="214"/>
      <c r="GJ4" s="214"/>
      <c r="GK4" s="214"/>
      <c r="GL4" s="214"/>
      <c r="GM4" s="214"/>
      <c r="GN4" s="214"/>
      <c r="GO4" s="214"/>
      <c r="GP4" s="214"/>
      <c r="GQ4" s="214"/>
      <c r="GR4" s="214"/>
      <c r="GS4" s="214"/>
      <c r="GT4" s="214"/>
      <c r="GU4" s="214"/>
      <c r="GV4" s="214"/>
      <c r="GW4" s="214"/>
      <c r="GX4" s="214"/>
      <c r="GY4" s="214"/>
      <c r="GZ4" s="214"/>
      <c r="HA4" s="214"/>
      <c r="HB4" s="214"/>
      <c r="HC4" s="214"/>
      <c r="HD4" s="214"/>
      <c r="HE4" s="214"/>
      <c r="HF4" s="214"/>
      <c r="HG4" s="214"/>
      <c r="HH4" s="214"/>
      <c r="HI4" s="214"/>
      <c r="HJ4" s="214"/>
      <c r="HK4" s="214"/>
      <c r="HL4" s="214"/>
      <c r="HM4" s="214"/>
      <c r="HN4" s="214"/>
      <c r="HO4" s="214"/>
      <c r="HP4" s="214"/>
      <c r="HQ4" s="214"/>
      <c r="HR4" s="214"/>
      <c r="HS4" s="214"/>
      <c r="HT4" s="214"/>
      <c r="HU4" s="214"/>
      <c r="HV4" s="214"/>
      <c r="HW4" s="214"/>
      <c r="HX4" s="214"/>
      <c r="HY4" s="214"/>
      <c r="HZ4" s="214"/>
      <c r="IA4" s="214"/>
      <c r="IB4" s="214"/>
      <c r="IC4" s="214"/>
      <c r="ID4" s="214"/>
      <c r="IE4" s="214"/>
      <c r="IF4" s="214"/>
      <c r="IG4" s="214"/>
      <c r="IH4" s="214"/>
      <c r="II4" s="214"/>
      <c r="IJ4" s="214"/>
      <c r="IK4" s="214"/>
      <c r="IL4" s="214"/>
      <c r="IM4" s="214"/>
      <c r="IN4" s="214"/>
      <c r="IO4" s="214"/>
      <c r="IP4" s="214"/>
      <c r="IQ4" s="214"/>
      <c r="IR4" s="214"/>
      <c r="IS4" s="214"/>
      <c r="IT4" s="214"/>
      <c r="IU4" s="214"/>
      <c r="IV4" s="214"/>
      <c r="IW4" s="214"/>
      <c r="IX4" s="214"/>
      <c r="IY4" s="214"/>
      <c r="IZ4" s="214"/>
      <c r="JA4" s="214"/>
      <c r="JB4" s="214"/>
      <c r="JC4" s="214"/>
      <c r="JD4" s="214"/>
      <c r="JE4" s="214"/>
      <c r="JF4" s="214"/>
      <c r="JG4" s="214"/>
      <c r="JH4" s="214"/>
      <c r="JI4" s="214"/>
    </row>
    <row r="5" spans="1:269">
      <c r="A5" s="214"/>
      <c r="B5" s="214"/>
      <c r="C5" s="85"/>
      <c r="D5" s="214"/>
      <c r="E5" s="214"/>
      <c r="F5" s="214"/>
      <c r="G5" s="214"/>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c r="CB5" s="214"/>
      <c r="CC5" s="214"/>
      <c r="CD5" s="214"/>
      <c r="CE5" s="214"/>
      <c r="CF5" s="214"/>
      <c r="CG5" s="214"/>
      <c r="CH5" s="214"/>
      <c r="CI5" s="214"/>
      <c r="CJ5" s="214"/>
      <c r="CK5" s="214"/>
      <c r="CL5" s="214"/>
      <c r="CM5" s="214"/>
      <c r="CN5" s="214"/>
      <c r="CO5" s="214"/>
      <c r="CP5" s="214"/>
      <c r="CQ5" s="214"/>
      <c r="CR5" s="214"/>
      <c r="CS5" s="214"/>
      <c r="CT5" s="214"/>
      <c r="CU5" s="214"/>
      <c r="CV5" s="214"/>
      <c r="CW5" s="214"/>
      <c r="CX5" s="214"/>
      <c r="CY5" s="214"/>
      <c r="CZ5" s="214"/>
      <c r="DA5" s="214"/>
      <c r="DB5" s="214"/>
      <c r="DC5" s="214"/>
      <c r="DD5" s="214"/>
      <c r="DE5" s="214"/>
      <c r="DF5" s="214"/>
      <c r="DG5" s="214"/>
      <c r="DH5" s="214"/>
      <c r="DI5" s="214"/>
      <c r="DJ5" s="214"/>
      <c r="DK5" s="214"/>
      <c r="DL5" s="214"/>
      <c r="DM5" s="214"/>
      <c r="DN5" s="214"/>
      <c r="DO5" s="214"/>
      <c r="DP5" s="214"/>
      <c r="DQ5" s="214"/>
      <c r="DR5" s="214"/>
      <c r="DS5" s="214"/>
      <c r="DT5" s="214"/>
      <c r="DU5" s="214"/>
      <c r="DV5" s="214"/>
      <c r="DW5" s="214"/>
      <c r="DX5" s="214"/>
      <c r="DY5" s="214"/>
      <c r="DZ5" s="214"/>
      <c r="EA5" s="214"/>
      <c r="EB5" s="214"/>
      <c r="EC5" s="214"/>
      <c r="ED5" s="214"/>
      <c r="EE5" s="214"/>
      <c r="EF5" s="214"/>
      <c r="EG5" s="214"/>
      <c r="EH5" s="214"/>
      <c r="EI5" s="214"/>
      <c r="EJ5" s="214"/>
      <c r="EK5" s="214"/>
      <c r="EL5" s="214"/>
      <c r="EM5" s="214"/>
      <c r="EN5" s="214"/>
      <c r="EO5" s="214"/>
      <c r="EP5" s="214"/>
      <c r="EQ5" s="214"/>
      <c r="ER5" s="214"/>
      <c r="ES5" s="214"/>
      <c r="ET5" s="214"/>
      <c r="EU5" s="214"/>
      <c r="EV5" s="214"/>
      <c r="EW5" s="214"/>
      <c r="EX5" s="214"/>
      <c r="EY5" s="214"/>
      <c r="EZ5" s="214"/>
      <c r="FA5" s="214"/>
      <c r="FB5" s="214"/>
      <c r="FC5" s="214"/>
      <c r="FD5" s="214"/>
      <c r="FE5" s="214"/>
      <c r="FF5" s="214"/>
      <c r="FG5" s="214"/>
      <c r="FH5" s="214"/>
      <c r="FI5" s="214"/>
      <c r="FJ5" s="214"/>
      <c r="FK5" s="214"/>
      <c r="FL5" s="214"/>
      <c r="FM5" s="214"/>
      <c r="FN5" s="214"/>
      <c r="FO5" s="214"/>
      <c r="FP5" s="214"/>
      <c r="FQ5" s="214"/>
      <c r="FR5" s="214"/>
      <c r="FS5" s="214"/>
      <c r="FT5" s="214"/>
      <c r="FU5" s="214"/>
      <c r="FV5" s="214"/>
      <c r="FW5" s="214"/>
      <c r="FX5" s="214"/>
      <c r="FY5" s="214"/>
      <c r="FZ5" s="214"/>
      <c r="GA5" s="214"/>
      <c r="GB5" s="214"/>
      <c r="GC5" s="214"/>
      <c r="GD5" s="214"/>
      <c r="GE5" s="214"/>
      <c r="GF5" s="214"/>
      <c r="GG5" s="214"/>
      <c r="GH5" s="214"/>
      <c r="GI5" s="214"/>
      <c r="GJ5" s="214"/>
      <c r="GK5" s="214"/>
      <c r="GL5" s="214"/>
      <c r="GM5" s="214"/>
      <c r="GN5" s="214"/>
      <c r="GO5" s="214"/>
      <c r="GP5" s="214"/>
      <c r="GQ5" s="214"/>
      <c r="GR5" s="214"/>
      <c r="GS5" s="214"/>
      <c r="GT5" s="214"/>
      <c r="GU5" s="214"/>
      <c r="GV5" s="214"/>
      <c r="GW5" s="214"/>
      <c r="GX5" s="214"/>
      <c r="GY5" s="214"/>
      <c r="GZ5" s="214"/>
      <c r="HA5" s="214"/>
      <c r="HB5" s="214"/>
      <c r="HC5" s="214"/>
      <c r="HD5" s="214"/>
      <c r="HE5" s="214"/>
      <c r="HF5" s="214"/>
      <c r="HG5" s="214"/>
      <c r="HH5" s="214"/>
      <c r="HI5" s="214"/>
      <c r="HJ5" s="214"/>
      <c r="HK5" s="214"/>
      <c r="HL5" s="214"/>
      <c r="HM5" s="214"/>
      <c r="HN5" s="214"/>
      <c r="HO5" s="214"/>
      <c r="HP5" s="214"/>
      <c r="HQ5" s="214"/>
      <c r="HR5" s="214"/>
      <c r="HS5" s="214"/>
      <c r="HT5" s="214"/>
      <c r="HU5" s="214"/>
      <c r="HV5" s="214"/>
      <c r="HW5" s="214"/>
      <c r="HX5" s="214"/>
      <c r="HY5" s="214"/>
      <c r="HZ5" s="214"/>
      <c r="IA5" s="214"/>
      <c r="IB5" s="214"/>
      <c r="IC5" s="214"/>
      <c r="ID5" s="214"/>
      <c r="IE5" s="214"/>
      <c r="IF5" s="214"/>
      <c r="IG5" s="214"/>
      <c r="IH5" s="214"/>
      <c r="II5" s="214"/>
      <c r="IJ5" s="214"/>
      <c r="IK5" s="214"/>
      <c r="IL5" s="214"/>
      <c r="IM5" s="214"/>
      <c r="IN5" s="214"/>
      <c r="IO5" s="214"/>
      <c r="IP5" s="214"/>
      <c r="IQ5" s="214"/>
      <c r="IR5" s="214"/>
      <c r="IS5" s="214"/>
      <c r="IT5" s="214"/>
      <c r="IU5" s="214"/>
      <c r="IV5" s="214"/>
      <c r="IW5" s="214"/>
      <c r="IX5" s="214"/>
      <c r="IY5" s="214"/>
      <c r="IZ5" s="214"/>
      <c r="JA5" s="214"/>
      <c r="JB5" s="214"/>
      <c r="JC5" s="214"/>
      <c r="JD5" s="214"/>
      <c r="JE5" s="214"/>
      <c r="JF5" s="214"/>
      <c r="JG5" s="214"/>
      <c r="JH5" s="214"/>
      <c r="JI5" s="214"/>
    </row>
    <row r="6" spans="1:269">
      <c r="A6" s="215"/>
      <c r="B6" s="103">
        <v>2024</v>
      </c>
      <c r="C6" s="85"/>
      <c r="D6" s="85"/>
      <c r="E6" s="104"/>
      <c r="F6" s="104"/>
      <c r="G6" s="214"/>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214"/>
      <c r="CV6" s="214"/>
      <c r="CW6" s="214"/>
      <c r="CX6" s="214"/>
      <c r="CY6" s="214"/>
      <c r="CZ6" s="214"/>
      <c r="DA6" s="214"/>
      <c r="DB6" s="214"/>
      <c r="DC6" s="214"/>
      <c r="DD6" s="214"/>
      <c r="DE6" s="214"/>
      <c r="DF6" s="214"/>
      <c r="DG6" s="214"/>
      <c r="DH6" s="214"/>
      <c r="DI6" s="214"/>
      <c r="DJ6" s="214"/>
      <c r="DK6" s="214"/>
      <c r="DL6" s="214"/>
      <c r="DM6" s="214"/>
      <c r="DN6" s="214"/>
      <c r="DO6" s="214"/>
      <c r="DP6" s="214"/>
      <c r="DQ6" s="214"/>
      <c r="DR6" s="214"/>
      <c r="DS6" s="214"/>
      <c r="DT6" s="214"/>
      <c r="DU6" s="214"/>
      <c r="DV6" s="214"/>
      <c r="DW6" s="214"/>
      <c r="DX6" s="214"/>
      <c r="DY6" s="214"/>
      <c r="DZ6" s="214"/>
      <c r="EA6" s="214"/>
      <c r="EB6" s="214"/>
      <c r="EC6" s="214"/>
      <c r="ED6" s="214"/>
      <c r="EE6" s="214"/>
      <c r="EF6" s="214"/>
      <c r="EG6" s="214"/>
      <c r="EH6" s="214"/>
      <c r="EI6" s="214"/>
      <c r="EJ6" s="214"/>
      <c r="EK6" s="214"/>
      <c r="EL6" s="214"/>
      <c r="EM6" s="214"/>
      <c r="EN6" s="214"/>
      <c r="EO6" s="214"/>
      <c r="EP6" s="214"/>
      <c r="EQ6" s="214"/>
      <c r="ER6" s="214"/>
      <c r="ES6" s="214"/>
      <c r="ET6" s="214"/>
      <c r="EU6" s="214"/>
      <c r="EV6" s="214"/>
      <c r="EW6" s="214"/>
      <c r="EX6" s="214"/>
      <c r="EY6" s="214"/>
      <c r="EZ6" s="214"/>
      <c r="FA6" s="214"/>
      <c r="FB6" s="214"/>
      <c r="FC6" s="214"/>
      <c r="FD6" s="214"/>
      <c r="FE6" s="214"/>
      <c r="FF6" s="214"/>
      <c r="FG6" s="214"/>
      <c r="FH6" s="214"/>
      <c r="FI6" s="214"/>
      <c r="FJ6" s="214"/>
      <c r="FK6" s="214"/>
      <c r="FL6" s="214"/>
      <c r="FM6" s="214"/>
      <c r="FN6" s="214"/>
      <c r="FO6" s="214"/>
      <c r="FP6" s="214"/>
      <c r="FQ6" s="214"/>
      <c r="FR6" s="214"/>
      <c r="FS6" s="214"/>
      <c r="FT6" s="214"/>
      <c r="FU6" s="214"/>
      <c r="FV6" s="214"/>
      <c r="FW6" s="214"/>
      <c r="FX6" s="214"/>
      <c r="FY6" s="214"/>
      <c r="FZ6" s="214"/>
      <c r="GA6" s="214"/>
      <c r="GB6" s="214"/>
      <c r="GC6" s="214"/>
      <c r="GD6" s="214"/>
      <c r="GE6" s="214"/>
      <c r="GF6" s="214"/>
      <c r="GG6" s="214"/>
      <c r="GH6" s="214"/>
      <c r="GI6" s="214"/>
      <c r="GJ6" s="214"/>
      <c r="GK6" s="214"/>
      <c r="GL6" s="214"/>
      <c r="GM6" s="214"/>
      <c r="GN6" s="214"/>
      <c r="GO6" s="214"/>
      <c r="GP6" s="214"/>
      <c r="GQ6" s="214"/>
      <c r="GR6" s="214"/>
      <c r="GS6" s="214"/>
      <c r="GT6" s="214"/>
      <c r="GU6" s="214"/>
      <c r="GV6" s="214"/>
      <c r="GW6" s="214"/>
      <c r="GX6" s="214"/>
      <c r="GY6" s="214"/>
      <c r="GZ6" s="214"/>
      <c r="HA6" s="214"/>
      <c r="HB6" s="214"/>
      <c r="HC6" s="214"/>
      <c r="HD6" s="214"/>
      <c r="HE6" s="214"/>
      <c r="HF6" s="214"/>
      <c r="HG6" s="214"/>
      <c r="HH6" s="214"/>
      <c r="HI6" s="214"/>
      <c r="HJ6" s="214"/>
      <c r="HK6" s="214"/>
      <c r="HL6" s="214"/>
      <c r="HM6" s="214"/>
      <c r="HN6" s="214"/>
      <c r="HO6" s="214"/>
      <c r="HP6" s="214"/>
      <c r="HQ6" s="214"/>
      <c r="HR6" s="214"/>
      <c r="HS6" s="214"/>
      <c r="HT6" s="214"/>
      <c r="HU6" s="214"/>
      <c r="HV6" s="214"/>
      <c r="HW6" s="214"/>
      <c r="HX6" s="214"/>
      <c r="HY6" s="214"/>
      <c r="HZ6" s="214"/>
      <c r="IA6" s="214"/>
      <c r="IB6" s="214"/>
      <c r="IC6" s="214"/>
      <c r="ID6" s="214"/>
      <c r="IE6" s="214"/>
      <c r="IF6" s="214"/>
      <c r="IG6" s="214"/>
      <c r="IH6" s="214"/>
      <c r="II6" s="214"/>
      <c r="IJ6" s="214"/>
      <c r="IK6" s="214"/>
      <c r="IL6" s="214"/>
      <c r="IM6" s="214"/>
      <c r="IN6" s="214"/>
      <c r="IO6" s="214"/>
      <c r="IP6" s="214"/>
      <c r="IQ6" s="214"/>
      <c r="IR6" s="214"/>
      <c r="IS6" s="214"/>
      <c r="IT6" s="214"/>
      <c r="IU6" s="214"/>
      <c r="IV6" s="214"/>
      <c r="IW6" s="214"/>
      <c r="IX6" s="214"/>
      <c r="IY6" s="214"/>
      <c r="IZ6" s="214"/>
      <c r="JA6" s="214"/>
      <c r="JB6" s="214"/>
      <c r="JC6" s="214"/>
      <c r="JD6" s="214"/>
      <c r="JE6" s="214"/>
      <c r="JF6" s="214"/>
      <c r="JG6" s="214"/>
      <c r="JH6" s="214"/>
      <c r="JI6" s="214"/>
    </row>
    <row r="7" spans="1:269" ht="15.75">
      <c r="A7" s="149" t="s">
        <v>28</v>
      </c>
      <c r="B7" s="216">
        <f>Basbelopp!AK81</f>
        <v>1068.0899999999999</v>
      </c>
      <c r="C7" s="85"/>
      <c r="D7" s="85"/>
      <c r="E7" s="85"/>
      <c r="F7" s="214"/>
      <c r="G7" s="214"/>
      <c r="H7" s="425" t="s">
        <v>579</v>
      </c>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c r="HQ7" s="214"/>
      <c r="HR7" s="214"/>
      <c r="HS7" s="214"/>
      <c r="HT7" s="214"/>
      <c r="HU7" s="214"/>
      <c r="HV7" s="214"/>
      <c r="HW7" s="214"/>
      <c r="HX7" s="214"/>
      <c r="HY7" s="214"/>
      <c r="HZ7" s="214"/>
      <c r="IA7" s="214"/>
      <c r="IB7" s="214"/>
      <c r="IC7" s="214"/>
      <c r="ID7" s="214"/>
      <c r="IE7" s="214"/>
      <c r="IF7" s="214"/>
      <c r="IG7" s="214"/>
      <c r="IH7" s="214"/>
      <c r="II7" s="214"/>
      <c r="IJ7" s="214"/>
      <c r="IK7" s="214"/>
      <c r="IL7" s="214"/>
      <c r="IM7" s="214"/>
      <c r="IN7" s="214"/>
      <c r="IO7" s="214"/>
      <c r="IP7" s="214"/>
      <c r="IQ7" s="214"/>
      <c r="IR7" s="214"/>
      <c r="IS7" s="214"/>
      <c r="IT7" s="214"/>
      <c r="IU7" s="214"/>
      <c r="IV7" s="214"/>
      <c r="IW7" s="214"/>
      <c r="IX7" s="214"/>
      <c r="IY7" s="214"/>
      <c r="IZ7" s="214"/>
      <c r="JA7" s="214"/>
      <c r="JB7" s="214"/>
      <c r="JC7" s="214"/>
      <c r="JD7" s="214"/>
      <c r="JE7" s="214"/>
      <c r="JF7" s="214"/>
      <c r="JG7" s="214"/>
      <c r="JH7" s="214"/>
      <c r="JI7" s="214"/>
    </row>
    <row r="8" spans="1:269">
      <c r="A8" s="149" t="s">
        <v>533</v>
      </c>
      <c r="B8" s="217">
        <v>0.13200000000000001</v>
      </c>
      <c r="C8" s="217"/>
      <c r="D8" s="214"/>
      <c r="E8" s="214"/>
      <c r="F8" s="214"/>
      <c r="G8" s="214"/>
      <c r="H8" s="214"/>
      <c r="I8" s="214"/>
      <c r="J8" s="214"/>
      <c r="K8" s="214"/>
      <c r="L8" s="214"/>
      <c r="M8" s="214"/>
      <c r="N8" s="214"/>
      <c r="O8" s="214"/>
      <c r="P8" s="214"/>
      <c r="Q8" s="214"/>
      <c r="R8" s="214"/>
      <c r="S8" s="214"/>
      <c r="T8" s="214"/>
      <c r="U8" s="214"/>
      <c r="V8" s="214"/>
      <c r="W8" s="214"/>
      <c r="X8" s="214"/>
      <c r="Y8" s="214"/>
      <c r="Z8" s="214"/>
      <c r="AA8" s="214"/>
      <c r="AB8" s="214"/>
      <c r="AC8" s="214"/>
      <c r="AD8" s="214"/>
      <c r="AE8" s="214"/>
      <c r="AF8" s="214"/>
      <c r="AG8" s="214"/>
      <c r="AH8" s="214"/>
      <c r="AI8" s="214"/>
      <c r="AJ8" s="214"/>
      <c r="AK8" s="214"/>
      <c r="AL8" s="214"/>
      <c r="AM8" s="214"/>
      <c r="AN8" s="214"/>
      <c r="AO8" s="214"/>
      <c r="AP8" s="214"/>
      <c r="AQ8" s="214"/>
      <c r="AR8" s="214"/>
      <c r="AS8" s="214"/>
      <c r="AT8" s="214"/>
      <c r="AU8" s="214"/>
      <c r="AV8" s="214"/>
      <c r="AW8" s="214"/>
      <c r="AX8" s="214"/>
      <c r="AY8" s="214"/>
      <c r="AZ8" s="214"/>
      <c r="BA8" s="214"/>
      <c r="BB8" s="214"/>
      <c r="BC8" s="214"/>
      <c r="BD8" s="214"/>
      <c r="BE8" s="214"/>
      <c r="BF8" s="214"/>
      <c r="BG8" s="214"/>
      <c r="BH8" s="214"/>
      <c r="BI8" s="214"/>
      <c r="BJ8" s="214"/>
      <c r="BK8" s="214"/>
      <c r="BL8" s="214"/>
      <c r="BM8" s="214"/>
      <c r="BN8" s="214"/>
      <c r="BO8" s="214"/>
      <c r="BP8" s="214"/>
      <c r="BQ8" s="214"/>
      <c r="BR8" s="214"/>
      <c r="BS8" s="214"/>
      <c r="BT8" s="214"/>
      <c r="BU8" s="214"/>
      <c r="BV8" s="214"/>
      <c r="BW8" s="214"/>
      <c r="BX8" s="214"/>
      <c r="BY8" s="214"/>
      <c r="BZ8" s="214"/>
      <c r="CA8" s="214"/>
      <c r="CB8" s="214"/>
      <c r="CC8" s="214"/>
      <c r="CD8" s="214"/>
      <c r="CE8" s="214"/>
      <c r="CF8" s="214"/>
      <c r="CG8" s="214"/>
      <c r="CH8" s="214"/>
      <c r="CI8" s="214"/>
      <c r="CJ8" s="214"/>
      <c r="CK8" s="214"/>
      <c r="CL8" s="214"/>
      <c r="CM8" s="214"/>
      <c r="CN8" s="214"/>
      <c r="CO8" s="214"/>
      <c r="CP8" s="214"/>
      <c r="CQ8" s="214"/>
      <c r="CR8" s="214"/>
      <c r="CS8" s="214"/>
      <c r="CT8" s="214"/>
      <c r="CU8" s="214"/>
      <c r="CV8" s="214"/>
      <c r="CW8" s="214"/>
      <c r="CX8" s="214"/>
      <c r="CY8" s="214"/>
      <c r="CZ8" s="214"/>
      <c r="DA8" s="214"/>
      <c r="DB8" s="214"/>
      <c r="DC8" s="214"/>
      <c r="DD8" s="214"/>
      <c r="DE8" s="214"/>
      <c r="DF8" s="214"/>
      <c r="DG8" s="214"/>
      <c r="DH8" s="214"/>
      <c r="DI8" s="214"/>
      <c r="DJ8" s="214"/>
      <c r="DK8" s="214"/>
      <c r="DL8" s="214"/>
      <c r="DM8" s="214"/>
      <c r="DN8" s="214"/>
      <c r="DO8" s="214"/>
      <c r="DP8" s="214"/>
      <c r="DQ8" s="214"/>
      <c r="DR8" s="214"/>
      <c r="DS8" s="214"/>
      <c r="DT8" s="214"/>
      <c r="DU8" s="214"/>
      <c r="DV8" s="214"/>
      <c r="DW8" s="214"/>
      <c r="DX8" s="214"/>
      <c r="DY8" s="214"/>
      <c r="DZ8" s="214"/>
      <c r="EA8" s="214"/>
      <c r="EB8" s="214"/>
      <c r="EC8" s="214"/>
      <c r="ED8" s="214"/>
      <c r="EE8" s="214"/>
      <c r="EF8" s="214"/>
      <c r="EG8" s="214"/>
      <c r="EH8" s="214"/>
      <c r="EI8" s="214"/>
      <c r="EJ8" s="214"/>
      <c r="EK8" s="214"/>
      <c r="EL8" s="214"/>
      <c r="EM8" s="214"/>
      <c r="EN8" s="214"/>
      <c r="EO8" s="214"/>
      <c r="EP8" s="214"/>
      <c r="EQ8" s="214"/>
      <c r="ER8" s="214"/>
      <c r="ES8" s="214"/>
      <c r="ET8" s="214"/>
      <c r="EU8" s="214"/>
      <c r="EV8" s="214"/>
      <c r="EW8" s="214"/>
      <c r="EX8" s="214"/>
      <c r="EY8" s="214"/>
      <c r="EZ8" s="214"/>
      <c r="FA8" s="214"/>
      <c r="FB8" s="214"/>
      <c r="FC8" s="214"/>
      <c r="FD8" s="214"/>
      <c r="FE8" s="214"/>
      <c r="FF8" s="214"/>
      <c r="FG8" s="214"/>
      <c r="FH8" s="214"/>
      <c r="FI8" s="214"/>
      <c r="FJ8" s="214"/>
      <c r="FK8" s="214"/>
      <c r="FL8" s="214"/>
      <c r="FM8" s="214"/>
      <c r="FN8" s="214"/>
      <c r="FO8" s="214"/>
      <c r="FP8" s="214"/>
      <c r="FQ8" s="214"/>
      <c r="FR8" s="214"/>
      <c r="FS8" s="214"/>
      <c r="FT8" s="214"/>
      <c r="FU8" s="214"/>
      <c r="FV8" s="214"/>
      <c r="FW8" s="214"/>
      <c r="FX8" s="214"/>
      <c r="FY8" s="214"/>
      <c r="FZ8" s="214"/>
      <c r="GA8" s="214"/>
      <c r="GB8" s="214"/>
      <c r="GC8" s="214"/>
      <c r="GD8" s="214"/>
      <c r="GE8" s="214"/>
      <c r="GF8" s="214"/>
      <c r="GG8" s="214"/>
      <c r="GH8" s="214"/>
      <c r="GI8" s="214"/>
      <c r="GJ8" s="214"/>
      <c r="GK8" s="214"/>
      <c r="GL8" s="214"/>
      <c r="GM8" s="214"/>
      <c r="GN8" s="214"/>
      <c r="GO8" s="214"/>
      <c r="GP8" s="214"/>
      <c r="GQ8" s="214"/>
      <c r="GR8" s="214"/>
      <c r="GS8" s="214"/>
      <c r="GT8" s="214"/>
      <c r="GU8" s="214"/>
      <c r="GV8" s="214"/>
      <c r="GW8" s="214"/>
      <c r="GX8" s="214"/>
      <c r="GY8" s="214"/>
      <c r="GZ8" s="214"/>
      <c r="HA8" s="214"/>
      <c r="HB8" s="214"/>
      <c r="HC8" s="214"/>
      <c r="HD8" s="214"/>
      <c r="HE8" s="214"/>
      <c r="HF8" s="214"/>
      <c r="HG8" s="214"/>
      <c r="HH8" s="214"/>
      <c r="HI8" s="214"/>
      <c r="HJ8" s="214"/>
      <c r="HK8" s="214"/>
      <c r="HL8" s="214"/>
      <c r="HM8" s="214"/>
      <c r="HN8" s="214"/>
      <c r="HO8" s="214"/>
      <c r="HP8" s="214"/>
      <c r="HQ8" s="214"/>
      <c r="HR8" s="214"/>
      <c r="HS8" s="214"/>
      <c r="HT8" s="214"/>
      <c r="HU8" s="214"/>
      <c r="HV8" s="214"/>
      <c r="HW8" s="214"/>
      <c r="HX8" s="214"/>
      <c r="HY8" s="214"/>
      <c r="HZ8" s="214"/>
      <c r="IA8" s="214"/>
      <c r="IB8" s="214"/>
      <c r="IC8" s="214"/>
      <c r="ID8" s="214"/>
      <c r="IE8" s="214"/>
      <c r="IF8" s="214"/>
      <c r="IG8" s="214"/>
      <c r="IH8" s="214"/>
      <c r="II8" s="214"/>
      <c r="IJ8" s="214"/>
      <c r="IK8" s="214"/>
      <c r="IL8" s="214"/>
      <c r="IM8" s="214"/>
      <c r="IN8" s="214"/>
      <c r="IO8" s="214"/>
      <c r="IP8" s="214"/>
      <c r="IQ8" s="214"/>
      <c r="IR8" s="214"/>
      <c r="IS8" s="214"/>
      <c r="IT8" s="214"/>
      <c r="IU8" s="214"/>
      <c r="IV8" s="214"/>
      <c r="IW8" s="214"/>
      <c r="IX8" s="214"/>
      <c r="IY8" s="214"/>
      <c r="IZ8" s="214"/>
      <c r="JA8" s="214"/>
      <c r="JB8" s="214"/>
      <c r="JC8" s="214"/>
      <c r="JD8" s="214"/>
      <c r="JE8" s="214"/>
      <c r="JF8" s="214"/>
      <c r="JG8" s="214"/>
      <c r="JH8" s="214"/>
      <c r="JI8" s="214"/>
    </row>
    <row r="9" spans="1:269">
      <c r="A9" s="214"/>
      <c r="B9" s="214"/>
      <c r="C9" s="214"/>
      <c r="D9" s="214"/>
      <c r="E9" s="214"/>
      <c r="F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c r="BI9" s="214"/>
      <c r="BJ9" s="214"/>
      <c r="BK9" s="214"/>
      <c r="BL9" s="214"/>
      <c r="BM9" s="214"/>
      <c r="BN9" s="214"/>
      <c r="BO9" s="214"/>
      <c r="BP9" s="214"/>
      <c r="BQ9" s="214"/>
      <c r="BR9" s="214"/>
      <c r="BS9" s="214"/>
      <c r="BT9" s="214"/>
      <c r="BU9" s="214"/>
      <c r="BV9" s="214"/>
      <c r="BW9" s="214"/>
      <c r="BX9" s="214"/>
      <c r="BY9" s="214"/>
      <c r="BZ9" s="214"/>
      <c r="CA9" s="214"/>
      <c r="CB9" s="214"/>
      <c r="CC9" s="214"/>
      <c r="CD9" s="214"/>
      <c r="CE9" s="214"/>
      <c r="CF9" s="214"/>
      <c r="CG9" s="214"/>
      <c r="CH9" s="214"/>
      <c r="CI9" s="214"/>
      <c r="CJ9" s="214"/>
      <c r="CK9" s="214"/>
      <c r="CL9" s="214"/>
      <c r="CM9" s="214"/>
      <c r="CN9" s="214"/>
      <c r="CO9" s="214"/>
      <c r="CP9" s="214"/>
      <c r="CQ9" s="214"/>
      <c r="CR9" s="214"/>
      <c r="CS9" s="214"/>
      <c r="CT9" s="214"/>
      <c r="CU9" s="214"/>
      <c r="CV9" s="214"/>
      <c r="CW9" s="214"/>
      <c r="CX9" s="214"/>
      <c r="CY9" s="214"/>
      <c r="CZ9" s="214"/>
      <c r="DA9" s="214"/>
      <c r="DB9" s="214"/>
      <c r="DC9" s="214"/>
      <c r="DD9" s="214"/>
      <c r="DE9" s="214"/>
      <c r="DF9" s="214"/>
      <c r="DG9" s="214"/>
      <c r="DH9" s="214"/>
      <c r="DI9" s="214"/>
      <c r="DJ9" s="214"/>
      <c r="DK9" s="214"/>
      <c r="DL9" s="214"/>
      <c r="DM9" s="214"/>
      <c r="DN9" s="214"/>
      <c r="DO9" s="214"/>
      <c r="DP9" s="214"/>
      <c r="DQ9" s="214"/>
      <c r="DR9" s="214"/>
      <c r="DS9" s="214"/>
      <c r="DT9" s="214"/>
      <c r="DU9" s="214"/>
      <c r="DV9" s="214"/>
      <c r="DW9" s="214"/>
      <c r="DX9" s="214"/>
      <c r="DY9" s="214"/>
      <c r="DZ9" s="214"/>
      <c r="EA9" s="214"/>
      <c r="EB9" s="214"/>
      <c r="EC9" s="214"/>
      <c r="ED9" s="214"/>
      <c r="EE9" s="214"/>
      <c r="EF9" s="214"/>
      <c r="EG9" s="214"/>
      <c r="EH9" s="214"/>
      <c r="EI9" s="214"/>
      <c r="EJ9" s="214"/>
      <c r="EK9" s="214"/>
      <c r="EL9" s="214"/>
      <c r="EM9" s="214"/>
      <c r="EN9" s="214"/>
      <c r="EO9" s="214"/>
      <c r="EP9" s="214"/>
      <c r="EQ9" s="214"/>
      <c r="ER9" s="214"/>
      <c r="ES9" s="214"/>
      <c r="ET9" s="214"/>
      <c r="EU9" s="214"/>
      <c r="EV9" s="214"/>
      <c r="EW9" s="214"/>
      <c r="EX9" s="214"/>
      <c r="EY9" s="214"/>
      <c r="EZ9" s="214"/>
      <c r="FA9" s="214"/>
      <c r="FB9" s="214"/>
      <c r="FC9" s="214"/>
      <c r="FD9" s="214"/>
      <c r="FE9" s="214"/>
      <c r="FF9" s="214"/>
      <c r="FG9" s="214"/>
      <c r="FH9" s="214"/>
      <c r="FI9" s="214"/>
      <c r="FJ9" s="214"/>
      <c r="FK9" s="214"/>
      <c r="FL9" s="214"/>
      <c r="FM9" s="214"/>
      <c r="FN9" s="214"/>
      <c r="FO9" s="214"/>
      <c r="FP9" s="214"/>
      <c r="FQ9" s="214"/>
      <c r="FR9" s="214"/>
      <c r="FS9" s="214"/>
      <c r="FT9" s="214"/>
      <c r="FU9" s="214"/>
      <c r="FV9" s="214"/>
      <c r="FW9" s="214"/>
      <c r="FX9" s="214"/>
      <c r="FY9" s="214"/>
      <c r="FZ9" s="214"/>
      <c r="GA9" s="214"/>
      <c r="GB9" s="214"/>
      <c r="GC9" s="214"/>
      <c r="GD9" s="214"/>
      <c r="GE9" s="214"/>
      <c r="GF9" s="214"/>
      <c r="GG9" s="214"/>
      <c r="GH9" s="214"/>
      <c r="GI9" s="214"/>
      <c r="GJ9" s="214"/>
      <c r="GK9" s="214"/>
      <c r="GL9" s="214"/>
      <c r="GM9" s="214"/>
      <c r="GN9" s="214"/>
      <c r="GO9" s="214"/>
      <c r="GP9" s="214"/>
      <c r="GQ9" s="214"/>
      <c r="GR9" s="214"/>
      <c r="GS9" s="214"/>
      <c r="GT9" s="214"/>
      <c r="GU9" s="214"/>
      <c r="GV9" s="214"/>
      <c r="GW9" s="214"/>
      <c r="GX9" s="214"/>
      <c r="GY9" s="214"/>
      <c r="GZ9" s="214"/>
      <c r="HA9" s="214"/>
      <c r="HB9" s="214"/>
      <c r="HC9" s="214"/>
      <c r="HD9" s="214"/>
      <c r="HE9" s="214"/>
      <c r="HF9" s="214"/>
      <c r="HG9" s="214"/>
      <c r="HH9" s="214"/>
      <c r="HI9" s="214"/>
      <c r="HJ9" s="214"/>
      <c r="HK9" s="214"/>
      <c r="HL9" s="214"/>
      <c r="HM9" s="214"/>
      <c r="HN9" s="214"/>
      <c r="HO9" s="214"/>
      <c r="HP9" s="214"/>
      <c r="HQ9" s="214"/>
      <c r="HR9" s="214"/>
      <c r="HS9" s="214"/>
      <c r="HT9" s="214"/>
      <c r="HU9" s="214"/>
      <c r="HV9" s="214"/>
      <c r="HW9" s="214"/>
      <c r="HX9" s="214"/>
      <c r="HY9" s="214"/>
      <c r="HZ9" s="214"/>
      <c r="IA9" s="214"/>
      <c r="IB9" s="214"/>
      <c r="IC9" s="214"/>
      <c r="ID9" s="214"/>
      <c r="IE9" s="214"/>
      <c r="IF9" s="214"/>
      <c r="IG9" s="214"/>
      <c r="IH9" s="214"/>
      <c r="II9" s="214"/>
      <c r="IJ9" s="214"/>
      <c r="IK9" s="214"/>
      <c r="IL9" s="214"/>
      <c r="IM9" s="214"/>
      <c r="IN9" s="214"/>
      <c r="IO9" s="214"/>
      <c r="IP9" s="214"/>
      <c r="IQ9" s="214"/>
      <c r="IR9" s="214"/>
      <c r="IS9" s="214"/>
      <c r="IT9" s="214"/>
      <c r="IU9" s="214"/>
      <c r="IV9" s="214"/>
      <c r="IW9" s="214"/>
      <c r="IX9" s="214"/>
      <c r="IY9" s="214"/>
      <c r="IZ9" s="214"/>
      <c r="JA9" s="214"/>
      <c r="JB9" s="214"/>
      <c r="JC9" s="214"/>
      <c r="JD9" s="214"/>
      <c r="JE9" s="214"/>
      <c r="JF9" s="214"/>
      <c r="JG9" s="214"/>
      <c r="JH9" s="214"/>
      <c r="JI9" s="214"/>
    </row>
    <row r="10" spans="1:269" ht="15.75">
      <c r="A10" s="104" t="s">
        <v>4</v>
      </c>
      <c r="B10" s="104"/>
      <c r="C10" s="214"/>
      <c r="D10" s="104"/>
      <c r="E10" s="214"/>
      <c r="F10" s="214"/>
      <c r="H10" s="104" t="s">
        <v>4</v>
      </c>
      <c r="I10" s="104"/>
      <c r="J10" s="214"/>
      <c r="K10" s="104"/>
      <c r="L10" s="214"/>
      <c r="M10" s="214"/>
      <c r="N10" s="291"/>
      <c r="O10" s="291"/>
      <c r="P10" s="291"/>
      <c r="Q10" s="291"/>
      <c r="R10" s="291"/>
      <c r="S10" s="291"/>
      <c r="T10" s="291"/>
      <c r="U10" s="291"/>
      <c r="V10" s="291"/>
      <c r="W10" s="291"/>
      <c r="X10" s="291"/>
      <c r="Y10" s="291"/>
      <c r="Z10" s="291"/>
      <c r="AA10" s="291"/>
      <c r="AB10" s="291"/>
      <c r="AC10" s="291"/>
      <c r="AD10" s="291"/>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c r="DA10" s="214"/>
      <c r="DB10" s="214"/>
      <c r="DC10" s="214"/>
      <c r="DD10" s="214"/>
      <c r="DE10" s="214"/>
      <c r="DF10" s="214"/>
      <c r="DG10" s="214"/>
      <c r="DH10" s="214"/>
      <c r="DI10" s="214"/>
      <c r="DJ10" s="214"/>
      <c r="DK10" s="214"/>
      <c r="DL10" s="214"/>
      <c r="DM10" s="214"/>
      <c r="DN10" s="214"/>
      <c r="DO10" s="214"/>
      <c r="DP10" s="214"/>
      <c r="DQ10" s="214"/>
      <c r="DR10" s="214"/>
      <c r="DS10" s="214"/>
      <c r="DT10" s="214"/>
      <c r="DU10" s="214"/>
      <c r="DV10" s="214"/>
      <c r="DW10" s="214"/>
      <c r="DX10" s="214"/>
      <c r="DY10" s="214"/>
      <c r="DZ10" s="214"/>
      <c r="EA10" s="214"/>
      <c r="EB10" s="214"/>
      <c r="EC10" s="214"/>
      <c r="ED10" s="214"/>
      <c r="EE10" s="214"/>
      <c r="EF10" s="214"/>
      <c r="EG10" s="214"/>
      <c r="EH10" s="214"/>
      <c r="EI10" s="214"/>
      <c r="EJ10" s="214"/>
      <c r="EK10" s="214"/>
      <c r="EL10" s="214"/>
      <c r="EM10" s="214"/>
      <c r="EN10" s="214"/>
      <c r="EO10" s="214"/>
      <c r="EP10" s="214"/>
      <c r="EQ10" s="214"/>
      <c r="ER10" s="214"/>
      <c r="ES10" s="214"/>
      <c r="ET10" s="214"/>
      <c r="EU10" s="214"/>
      <c r="EV10" s="214"/>
      <c r="EW10" s="214"/>
      <c r="EX10" s="214"/>
      <c r="EY10" s="214"/>
      <c r="EZ10" s="214"/>
      <c r="FA10" s="214"/>
      <c r="FB10" s="214"/>
      <c r="FC10" s="214"/>
      <c r="FD10" s="214"/>
      <c r="FE10" s="214"/>
      <c r="FF10" s="214"/>
      <c r="FG10" s="214"/>
      <c r="FH10" s="214"/>
      <c r="FI10" s="214"/>
      <c r="FJ10" s="214"/>
      <c r="FK10" s="214"/>
      <c r="FL10" s="214"/>
      <c r="FM10" s="214"/>
      <c r="FN10" s="214"/>
      <c r="FO10" s="214"/>
      <c r="FP10" s="214"/>
      <c r="FQ10" s="214"/>
      <c r="FR10" s="214"/>
      <c r="FS10" s="214"/>
      <c r="FT10" s="214"/>
      <c r="FU10" s="214"/>
      <c r="FV10" s="214"/>
      <c r="FW10" s="214"/>
      <c r="FX10" s="214"/>
      <c r="FY10" s="214"/>
      <c r="FZ10" s="214"/>
      <c r="GA10" s="214"/>
      <c r="GB10" s="214"/>
      <c r="GC10" s="214"/>
      <c r="GD10" s="214"/>
      <c r="GE10" s="214"/>
      <c r="GF10" s="214"/>
      <c r="GG10" s="214"/>
      <c r="GH10" s="214"/>
      <c r="GI10" s="214"/>
      <c r="GJ10" s="214"/>
      <c r="GK10" s="214"/>
      <c r="GL10" s="214"/>
      <c r="GM10" s="214"/>
      <c r="GN10" s="214"/>
      <c r="GO10" s="214"/>
      <c r="GP10" s="214"/>
      <c r="GQ10" s="214"/>
      <c r="GR10" s="214"/>
      <c r="GS10" s="214"/>
      <c r="GT10" s="214"/>
      <c r="GU10" s="214"/>
      <c r="GV10" s="214"/>
      <c r="GW10" s="214"/>
      <c r="GX10" s="214"/>
      <c r="GY10" s="214"/>
      <c r="GZ10" s="214"/>
      <c r="HA10" s="214"/>
      <c r="HB10" s="214"/>
      <c r="HC10" s="214"/>
      <c r="HD10" s="214"/>
      <c r="HE10" s="214"/>
      <c r="HF10" s="214"/>
      <c r="HG10" s="214"/>
      <c r="HH10" s="214"/>
      <c r="HI10" s="214"/>
      <c r="HJ10" s="214"/>
      <c r="HK10" s="214"/>
      <c r="HL10" s="214"/>
      <c r="HM10" s="214"/>
      <c r="HN10" s="214"/>
      <c r="HO10" s="214"/>
      <c r="HP10" s="214"/>
      <c r="HQ10" s="214"/>
      <c r="HR10" s="214"/>
      <c r="HS10" s="214"/>
      <c r="HT10" s="214"/>
      <c r="HU10" s="214"/>
      <c r="HV10" s="214"/>
      <c r="HW10" s="214"/>
      <c r="HX10" s="214"/>
      <c r="HY10" s="214"/>
      <c r="HZ10" s="214"/>
      <c r="IA10" s="214"/>
      <c r="IB10" s="214"/>
      <c r="IC10" s="214"/>
      <c r="ID10" s="214"/>
      <c r="IE10" s="214"/>
      <c r="IF10" s="214"/>
      <c r="IG10" s="214"/>
      <c r="IH10" s="214"/>
      <c r="II10" s="214"/>
      <c r="IJ10" s="214"/>
      <c r="IK10" s="214"/>
      <c r="IL10" s="214"/>
      <c r="IM10" s="214"/>
      <c r="IN10" s="214"/>
      <c r="IO10" s="214"/>
      <c r="IP10" s="214"/>
      <c r="IQ10" s="214"/>
      <c r="IR10" s="214"/>
      <c r="IS10" s="214"/>
      <c r="IT10" s="214"/>
      <c r="IU10" s="214"/>
      <c r="IV10" s="214"/>
      <c r="IW10" s="214"/>
      <c r="IX10" s="214"/>
      <c r="IY10" s="214"/>
      <c r="IZ10" s="214"/>
      <c r="JA10" s="214"/>
      <c r="JB10" s="214"/>
      <c r="JC10" s="214"/>
      <c r="JD10" s="214"/>
      <c r="JE10" s="214"/>
      <c r="JF10" s="214"/>
      <c r="JG10" s="214"/>
      <c r="JH10" s="214"/>
      <c r="JI10" s="214"/>
    </row>
    <row r="11" spans="1:269" ht="30" customHeight="1">
      <c r="A11" s="190" t="str">
        <f>Invånare!A26</f>
        <v>2023-01-01</v>
      </c>
      <c r="B11" s="218" t="s">
        <v>580</v>
      </c>
      <c r="C11" s="410" t="s">
        <v>581</v>
      </c>
      <c r="D11" s="218" t="s">
        <v>582</v>
      </c>
      <c r="E11" s="219" t="s">
        <v>534</v>
      </c>
      <c r="F11" s="214"/>
      <c r="H11" s="190" t="s">
        <v>562</v>
      </c>
      <c r="I11" s="218" t="s">
        <v>580</v>
      </c>
      <c r="J11" s="410" t="s">
        <v>581</v>
      </c>
      <c r="K11" s="219" t="s">
        <v>534</v>
      </c>
      <c r="M11" s="214"/>
      <c r="N11" s="291"/>
      <c r="O11" s="291"/>
      <c r="P11" s="291"/>
      <c r="Q11" s="291"/>
      <c r="R11" s="291"/>
      <c r="S11" s="291"/>
      <c r="T11" s="291"/>
      <c r="U11" s="291"/>
      <c r="V11" s="291"/>
      <c r="W11" s="291"/>
      <c r="X11" s="291"/>
      <c r="Y11" s="291"/>
      <c r="Z11" s="291"/>
      <c r="AA11" s="291"/>
      <c r="AB11" s="291"/>
      <c r="AC11" s="291"/>
      <c r="AD11" s="291"/>
      <c r="AE11" s="214"/>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c r="BI11" s="214"/>
      <c r="BJ11" s="214"/>
      <c r="BK11" s="214"/>
      <c r="BL11" s="214"/>
      <c r="BM11" s="214"/>
      <c r="BN11" s="214"/>
      <c r="BO11" s="214"/>
      <c r="BP11" s="214"/>
      <c r="BQ11" s="214"/>
      <c r="BR11" s="214"/>
      <c r="BS11" s="214"/>
      <c r="BT11" s="214"/>
      <c r="BU11" s="214"/>
      <c r="BV11" s="214"/>
      <c r="BW11" s="214"/>
      <c r="BX11" s="214"/>
      <c r="BY11" s="214"/>
      <c r="BZ11" s="214"/>
      <c r="CA11" s="214"/>
      <c r="CB11" s="214"/>
      <c r="CC11" s="214"/>
      <c r="CD11" s="214"/>
      <c r="CE11" s="214"/>
      <c r="CF11" s="214"/>
      <c r="CG11" s="214"/>
      <c r="CH11" s="214"/>
      <c r="CI11" s="214"/>
      <c r="CJ11" s="214"/>
      <c r="CK11" s="214"/>
      <c r="CL11" s="214"/>
      <c r="CM11" s="214"/>
      <c r="CN11" s="214"/>
      <c r="CO11" s="214"/>
      <c r="CP11" s="214"/>
      <c r="CQ11" s="214"/>
      <c r="CR11" s="214"/>
      <c r="CS11" s="214"/>
      <c r="CT11" s="214"/>
      <c r="CU11" s="214"/>
      <c r="CV11" s="214"/>
      <c r="CW11" s="214"/>
      <c r="CX11" s="214"/>
      <c r="CY11" s="214"/>
      <c r="CZ11" s="214"/>
      <c r="DA11" s="214"/>
      <c r="DB11" s="214"/>
      <c r="DC11" s="214"/>
      <c r="DD11" s="214"/>
      <c r="DE11" s="214"/>
      <c r="DF11" s="214"/>
      <c r="DG11" s="214"/>
      <c r="DH11" s="214"/>
      <c r="DI11" s="214"/>
      <c r="DJ11" s="214"/>
      <c r="DK11" s="214"/>
      <c r="DL11" s="214"/>
      <c r="DM11" s="214"/>
      <c r="DN11" s="214"/>
      <c r="DO11" s="214"/>
      <c r="DP11" s="214"/>
      <c r="DQ11" s="214"/>
      <c r="DR11" s="214"/>
      <c r="DS11" s="214"/>
      <c r="DT11" s="214"/>
      <c r="DU11" s="214"/>
      <c r="DV11" s="214"/>
      <c r="DW11" s="214"/>
      <c r="DX11" s="214"/>
      <c r="DY11" s="214"/>
      <c r="DZ11" s="214"/>
      <c r="EA11" s="214"/>
      <c r="EB11" s="214"/>
      <c r="EC11" s="214"/>
      <c r="ED11" s="214"/>
      <c r="EE11" s="214"/>
      <c r="EF11" s="214"/>
      <c r="EG11" s="214"/>
      <c r="EH11" s="214"/>
      <c r="EI11" s="214"/>
      <c r="EJ11" s="214"/>
      <c r="EK11" s="214"/>
      <c r="EL11" s="214"/>
      <c r="EM11" s="214"/>
      <c r="EN11" s="214"/>
      <c r="EO11" s="214"/>
      <c r="EP11" s="214"/>
      <c r="EQ11" s="214"/>
      <c r="ER11" s="214"/>
      <c r="ES11" s="214"/>
      <c r="ET11" s="214"/>
      <c r="EU11" s="214"/>
      <c r="EV11" s="214"/>
      <c r="EW11" s="214"/>
      <c r="EX11" s="214"/>
      <c r="EY11" s="214"/>
      <c r="EZ11" s="214"/>
      <c r="FA11" s="214"/>
      <c r="FB11" s="214"/>
      <c r="FC11" s="214"/>
      <c r="FD11" s="214"/>
      <c r="FE11" s="214"/>
      <c r="FF11" s="214"/>
      <c r="FG11" s="214"/>
      <c r="FH11" s="214"/>
      <c r="FI11" s="214"/>
      <c r="FJ11" s="214"/>
      <c r="FK11" s="214"/>
      <c r="FL11" s="214"/>
      <c r="FM11" s="214"/>
      <c r="FN11" s="214"/>
      <c r="FO11" s="214"/>
      <c r="FP11" s="214"/>
      <c r="FQ11" s="214"/>
      <c r="FR11" s="214"/>
      <c r="FS11" s="214"/>
      <c r="FT11" s="214"/>
      <c r="FU11" s="214"/>
      <c r="FV11" s="214"/>
      <c r="FW11" s="214"/>
      <c r="FX11" s="214"/>
      <c r="FY11" s="214"/>
      <c r="FZ11" s="214"/>
      <c r="GA11" s="214"/>
      <c r="GB11" s="214"/>
      <c r="GC11" s="214"/>
      <c r="GD11" s="214"/>
      <c r="GE11" s="214"/>
      <c r="GF11" s="214"/>
      <c r="GG11" s="214"/>
      <c r="GH11" s="214"/>
      <c r="GI11" s="214"/>
      <c r="GJ11" s="214"/>
      <c r="GK11" s="214"/>
      <c r="GL11" s="214"/>
      <c r="GM11" s="214"/>
      <c r="GN11" s="214"/>
      <c r="GO11" s="214"/>
      <c r="GP11" s="214"/>
      <c r="GQ11" s="214"/>
      <c r="GR11" s="214"/>
      <c r="GS11" s="214"/>
      <c r="GT11" s="214"/>
      <c r="GU11" s="214"/>
      <c r="GV11" s="214"/>
      <c r="GW11" s="214"/>
      <c r="GX11" s="214"/>
      <c r="GY11" s="214"/>
      <c r="GZ11" s="214"/>
      <c r="HA11" s="214"/>
      <c r="HB11" s="214"/>
      <c r="HC11" s="214"/>
      <c r="HD11" s="214"/>
      <c r="HE11" s="214"/>
      <c r="HF11" s="214"/>
      <c r="HG11" s="214"/>
      <c r="HH11" s="214"/>
      <c r="HI11" s="214"/>
      <c r="HJ11" s="214"/>
      <c r="HK11" s="214"/>
      <c r="HL11" s="214"/>
      <c r="HM11" s="214"/>
      <c r="HN11" s="214"/>
      <c r="HO11" s="214"/>
      <c r="HP11" s="214"/>
      <c r="HQ11" s="214"/>
      <c r="HR11" s="214"/>
      <c r="HS11" s="214"/>
      <c r="HT11" s="214"/>
      <c r="HU11" s="214"/>
      <c r="HV11" s="214"/>
      <c r="HW11" s="214"/>
      <c r="HX11" s="214"/>
      <c r="HY11" s="214"/>
      <c r="HZ11" s="214"/>
      <c r="IA11" s="214"/>
      <c r="IB11" s="214"/>
      <c r="IC11" s="214"/>
      <c r="ID11" s="214"/>
      <c r="IE11" s="214"/>
      <c r="IF11" s="214"/>
      <c r="IG11" s="214"/>
      <c r="IH11" s="214"/>
      <c r="II11" s="214"/>
      <c r="IJ11" s="214"/>
      <c r="IK11" s="214"/>
      <c r="IL11" s="214"/>
      <c r="IM11" s="214"/>
      <c r="IN11" s="214"/>
      <c r="IO11" s="214"/>
      <c r="IP11" s="214"/>
      <c r="IQ11" s="214"/>
      <c r="IR11" s="214"/>
      <c r="IS11" s="214"/>
      <c r="IT11" s="214"/>
      <c r="IU11" s="214"/>
      <c r="IV11" s="214"/>
      <c r="IW11" s="214"/>
      <c r="IX11" s="214"/>
      <c r="IY11" s="214"/>
      <c r="IZ11" s="214"/>
      <c r="JA11" s="214"/>
      <c r="JB11" s="214"/>
      <c r="JC11" s="214"/>
      <c r="JD11" s="214"/>
      <c r="JE11" s="214"/>
      <c r="JF11" s="214"/>
      <c r="JG11" s="214"/>
      <c r="JH11" s="214"/>
      <c r="JI11" s="214"/>
    </row>
    <row r="12" spans="1:269" ht="15.75">
      <c r="A12" s="149" t="s">
        <v>92</v>
      </c>
      <c r="B12" s="152">
        <f>Invånare!B6</f>
        <v>450</v>
      </c>
      <c r="C12" s="152">
        <f>B12*$B$7</f>
        <v>480640.49999999994</v>
      </c>
      <c r="D12" s="220">
        <f t="shared" ref="D12:D27" si="0">B12/$B$28</f>
        <v>1.4822622616028196E-2</v>
      </c>
      <c r="E12" s="113">
        <f t="shared" ref="E12:E27" si="1">$B$7*$B$8*B12</f>
        <v>63444.545999999995</v>
      </c>
      <c r="F12" s="214"/>
      <c r="H12" s="149" t="s">
        <v>92</v>
      </c>
      <c r="I12" s="152">
        <v>449</v>
      </c>
      <c r="J12" s="152"/>
      <c r="K12" s="113">
        <v>60555.893639999995</v>
      </c>
      <c r="M12" s="214"/>
      <c r="N12" s="291"/>
      <c r="O12" s="291"/>
      <c r="P12" s="291"/>
      <c r="Q12" s="291"/>
      <c r="R12" s="291"/>
      <c r="S12" s="291"/>
      <c r="T12" s="291"/>
      <c r="U12" s="291"/>
      <c r="V12" s="291"/>
      <c r="W12" s="291"/>
      <c r="X12" s="291"/>
      <c r="Y12" s="291"/>
      <c r="Z12" s="291"/>
      <c r="AA12" s="291"/>
      <c r="AB12" s="291"/>
      <c r="AC12" s="291"/>
      <c r="AD12" s="291"/>
      <c r="AE12" s="214"/>
      <c r="AF12" s="214"/>
      <c r="AG12" s="214"/>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c r="BI12" s="214"/>
      <c r="BJ12" s="214"/>
      <c r="BK12" s="214"/>
      <c r="BL12" s="214"/>
      <c r="BM12" s="214"/>
      <c r="BN12" s="214"/>
      <c r="BO12" s="214"/>
      <c r="BP12" s="214"/>
      <c r="BQ12" s="214"/>
      <c r="BR12" s="214"/>
      <c r="BS12" s="214"/>
      <c r="BT12" s="214"/>
      <c r="BU12" s="214"/>
      <c r="BV12" s="214"/>
      <c r="BW12" s="214"/>
      <c r="BX12" s="214"/>
      <c r="BY12" s="214"/>
      <c r="BZ12" s="214"/>
      <c r="CA12" s="214"/>
      <c r="CB12" s="214"/>
      <c r="CC12" s="214"/>
      <c r="CD12" s="214"/>
      <c r="CE12" s="214"/>
      <c r="CF12" s="214"/>
      <c r="CG12" s="214"/>
      <c r="CH12" s="214"/>
      <c r="CI12" s="214"/>
      <c r="CJ12" s="214"/>
      <c r="CK12" s="214"/>
      <c r="CL12" s="214"/>
      <c r="CM12" s="214"/>
      <c r="CN12" s="214"/>
      <c r="CO12" s="214"/>
      <c r="CP12" s="214"/>
      <c r="CQ12" s="214"/>
      <c r="CR12" s="214"/>
      <c r="CS12" s="214"/>
      <c r="CT12" s="214"/>
      <c r="CU12" s="214"/>
      <c r="CV12" s="214"/>
      <c r="CW12" s="214"/>
      <c r="CX12" s="214"/>
      <c r="CY12" s="214"/>
      <c r="CZ12" s="214"/>
      <c r="DA12" s="214"/>
      <c r="DB12" s="214"/>
      <c r="DC12" s="214"/>
      <c r="DD12" s="214"/>
      <c r="DE12" s="214"/>
      <c r="DF12" s="214"/>
      <c r="DG12" s="214"/>
      <c r="DH12" s="214"/>
      <c r="DI12" s="214"/>
      <c r="DJ12" s="214"/>
      <c r="DK12" s="214"/>
      <c r="DL12" s="214"/>
      <c r="DM12" s="214"/>
      <c r="DN12" s="214"/>
      <c r="DO12" s="214"/>
      <c r="DP12" s="214"/>
      <c r="DQ12" s="214"/>
      <c r="DR12" s="214"/>
      <c r="DS12" s="214"/>
      <c r="DT12" s="214"/>
      <c r="DU12" s="214"/>
      <c r="DV12" s="214"/>
      <c r="DW12" s="214"/>
      <c r="DX12" s="214"/>
      <c r="DY12" s="214"/>
      <c r="DZ12" s="214"/>
      <c r="EA12" s="214"/>
      <c r="EB12" s="214"/>
      <c r="EC12" s="214"/>
      <c r="ED12" s="214"/>
      <c r="EE12" s="214"/>
      <c r="EF12" s="214"/>
      <c r="EG12" s="214"/>
      <c r="EH12" s="214"/>
      <c r="EI12" s="214"/>
      <c r="EJ12" s="214"/>
      <c r="EK12" s="214"/>
      <c r="EL12" s="214"/>
      <c r="EM12" s="214"/>
      <c r="EN12" s="214"/>
      <c r="EO12" s="214"/>
      <c r="EP12" s="214"/>
      <c r="EQ12" s="214"/>
      <c r="ER12" s="214"/>
      <c r="ES12" s="214"/>
      <c r="ET12" s="214"/>
      <c r="EU12" s="214"/>
      <c r="EV12" s="214"/>
      <c r="EW12" s="214"/>
      <c r="EX12" s="214"/>
      <c r="EY12" s="214"/>
      <c r="EZ12" s="214"/>
      <c r="FA12" s="214"/>
      <c r="FB12" s="214"/>
      <c r="FC12" s="214"/>
      <c r="FD12" s="214"/>
      <c r="FE12" s="214"/>
      <c r="FF12" s="214"/>
      <c r="FG12" s="214"/>
      <c r="FH12" s="214"/>
      <c r="FI12" s="214"/>
      <c r="FJ12" s="214"/>
      <c r="FK12" s="214"/>
      <c r="FL12" s="214"/>
      <c r="FM12" s="214"/>
      <c r="FN12" s="214"/>
      <c r="FO12" s="214"/>
      <c r="FP12" s="214"/>
      <c r="FQ12" s="214"/>
      <c r="FR12" s="214"/>
      <c r="FS12" s="214"/>
      <c r="FT12" s="214"/>
      <c r="FU12" s="214"/>
      <c r="FV12" s="214"/>
      <c r="FW12" s="214"/>
      <c r="FX12" s="214"/>
      <c r="FY12" s="214"/>
      <c r="FZ12" s="214"/>
      <c r="GA12" s="214"/>
      <c r="GB12" s="214"/>
      <c r="GC12" s="214"/>
      <c r="GD12" s="214"/>
      <c r="GE12" s="214"/>
      <c r="GF12" s="214"/>
      <c r="GG12" s="214"/>
      <c r="GH12" s="214"/>
      <c r="GI12" s="214"/>
      <c r="GJ12" s="214"/>
      <c r="GK12" s="214"/>
      <c r="GL12" s="214"/>
      <c r="GM12" s="214"/>
      <c r="GN12" s="214"/>
      <c r="GO12" s="214"/>
      <c r="GP12" s="214"/>
      <c r="GQ12" s="214"/>
      <c r="GR12" s="214"/>
      <c r="GS12" s="214"/>
      <c r="GT12" s="214"/>
      <c r="GU12" s="214"/>
      <c r="GV12" s="214"/>
      <c r="GW12" s="214"/>
      <c r="GX12" s="214"/>
      <c r="GY12" s="214"/>
      <c r="GZ12" s="214"/>
      <c r="HA12" s="214"/>
      <c r="HB12" s="214"/>
      <c r="HC12" s="214"/>
      <c r="HD12" s="214"/>
      <c r="HE12" s="214"/>
      <c r="HF12" s="214"/>
      <c r="HG12" s="214"/>
      <c r="HH12" s="214"/>
      <c r="HI12" s="214"/>
      <c r="HJ12" s="214"/>
      <c r="HK12" s="214"/>
      <c r="HL12" s="214"/>
      <c r="HM12" s="214"/>
      <c r="HN12" s="214"/>
      <c r="HO12" s="214"/>
      <c r="HP12" s="214"/>
      <c r="HQ12" s="214"/>
      <c r="HR12" s="214"/>
      <c r="HS12" s="214"/>
      <c r="HT12" s="214"/>
      <c r="HU12" s="214"/>
      <c r="HV12" s="214"/>
      <c r="HW12" s="214"/>
      <c r="HX12" s="214"/>
      <c r="HY12" s="214"/>
      <c r="HZ12" s="214"/>
      <c r="IA12" s="214"/>
      <c r="IB12" s="214"/>
      <c r="IC12" s="214"/>
      <c r="ID12" s="214"/>
      <c r="IE12" s="214"/>
      <c r="IF12" s="214"/>
      <c r="IG12" s="214"/>
      <c r="IH12" s="214"/>
      <c r="II12" s="214"/>
      <c r="IJ12" s="214"/>
      <c r="IK12" s="214"/>
      <c r="IL12" s="214"/>
      <c r="IM12" s="214"/>
      <c r="IN12" s="214"/>
      <c r="IO12" s="214"/>
      <c r="IP12" s="214"/>
      <c r="IQ12" s="214"/>
      <c r="IR12" s="214"/>
      <c r="IS12" s="214"/>
      <c r="IT12" s="214"/>
      <c r="IU12" s="214"/>
      <c r="IV12" s="214"/>
      <c r="IW12" s="214"/>
      <c r="IX12" s="214"/>
      <c r="IY12" s="214"/>
      <c r="IZ12" s="214"/>
      <c r="JA12" s="214"/>
      <c r="JB12" s="214"/>
      <c r="JC12" s="214"/>
      <c r="JD12" s="214"/>
      <c r="JE12" s="214"/>
      <c r="JF12" s="214"/>
      <c r="JG12" s="214"/>
      <c r="JH12" s="214"/>
      <c r="JI12" s="214"/>
    </row>
    <row r="13" spans="1:269" ht="15.75">
      <c r="A13" s="149" t="s">
        <v>93</v>
      </c>
      <c r="B13" s="152">
        <f>Invånare!B7</f>
        <v>939</v>
      </c>
      <c r="C13" s="152">
        <f t="shared" ref="C13:C27" si="2">B13*$B$7</f>
        <v>1002936.5099999999</v>
      </c>
      <c r="D13" s="220">
        <f t="shared" si="0"/>
        <v>3.0929872525445504E-2</v>
      </c>
      <c r="E13" s="113">
        <f t="shared" si="1"/>
        <v>132387.61932</v>
      </c>
      <c r="F13" s="214"/>
      <c r="H13" s="149" t="s">
        <v>93</v>
      </c>
      <c r="I13" s="152">
        <v>933</v>
      </c>
      <c r="J13" s="152"/>
      <c r="K13" s="113">
        <v>125832.17988</v>
      </c>
      <c r="M13" s="214"/>
      <c r="N13" s="291"/>
      <c r="O13" s="291"/>
      <c r="P13" s="291"/>
      <c r="Q13" s="291"/>
      <c r="R13" s="291"/>
      <c r="S13" s="291"/>
      <c r="T13" s="291"/>
      <c r="U13" s="291"/>
      <c r="V13" s="291"/>
      <c r="W13" s="291"/>
      <c r="X13" s="291"/>
      <c r="Y13" s="291"/>
      <c r="Z13" s="291"/>
      <c r="AA13" s="291"/>
      <c r="AB13" s="291"/>
      <c r="AC13" s="291"/>
      <c r="AD13" s="291"/>
      <c r="AE13" s="214"/>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4"/>
      <c r="CB13" s="214"/>
      <c r="CC13" s="214"/>
      <c r="CD13" s="214"/>
      <c r="CE13" s="214"/>
      <c r="CF13" s="214"/>
      <c r="CG13" s="214"/>
      <c r="CH13" s="214"/>
      <c r="CI13" s="214"/>
      <c r="CJ13" s="214"/>
      <c r="CK13" s="214"/>
      <c r="CL13" s="214"/>
      <c r="CM13" s="214"/>
      <c r="CN13" s="214"/>
      <c r="CO13" s="214"/>
      <c r="CP13" s="214"/>
      <c r="CQ13" s="214"/>
      <c r="CR13" s="214"/>
      <c r="CS13" s="214"/>
      <c r="CT13" s="214"/>
      <c r="CU13" s="214"/>
      <c r="CV13" s="214"/>
      <c r="CW13" s="214"/>
      <c r="CX13" s="214"/>
      <c r="CY13" s="214"/>
      <c r="CZ13" s="214"/>
      <c r="DA13" s="214"/>
      <c r="DB13" s="214"/>
      <c r="DC13" s="214"/>
      <c r="DD13" s="214"/>
      <c r="DE13" s="214"/>
      <c r="DF13" s="214"/>
      <c r="DG13" s="214"/>
      <c r="DH13" s="214"/>
      <c r="DI13" s="214"/>
      <c r="DJ13" s="214"/>
      <c r="DK13" s="214"/>
      <c r="DL13" s="214"/>
      <c r="DM13" s="214"/>
      <c r="DN13" s="214"/>
      <c r="DO13" s="214"/>
      <c r="DP13" s="214"/>
      <c r="DQ13" s="214"/>
      <c r="DR13" s="214"/>
      <c r="DS13" s="214"/>
      <c r="DT13" s="214"/>
      <c r="DU13" s="214"/>
      <c r="DV13" s="214"/>
      <c r="DW13" s="214"/>
      <c r="DX13" s="214"/>
      <c r="DY13" s="214"/>
      <c r="DZ13" s="214"/>
      <c r="EA13" s="214"/>
      <c r="EB13" s="214"/>
      <c r="EC13" s="214"/>
      <c r="ED13" s="214"/>
      <c r="EE13" s="214"/>
      <c r="EF13" s="214"/>
      <c r="EG13" s="214"/>
      <c r="EH13" s="214"/>
      <c r="EI13" s="214"/>
      <c r="EJ13" s="214"/>
      <c r="EK13" s="214"/>
      <c r="EL13" s="214"/>
      <c r="EM13" s="214"/>
      <c r="EN13" s="214"/>
      <c r="EO13" s="214"/>
      <c r="EP13" s="214"/>
      <c r="EQ13" s="214"/>
      <c r="ER13" s="214"/>
      <c r="ES13" s="214"/>
      <c r="ET13" s="214"/>
      <c r="EU13" s="214"/>
      <c r="EV13" s="214"/>
      <c r="EW13" s="214"/>
      <c r="EX13" s="214"/>
      <c r="EY13" s="214"/>
      <c r="EZ13" s="214"/>
      <c r="FA13" s="214"/>
      <c r="FB13" s="214"/>
      <c r="FC13" s="214"/>
      <c r="FD13" s="214"/>
      <c r="FE13" s="214"/>
      <c r="FF13" s="214"/>
      <c r="FG13" s="214"/>
      <c r="FH13" s="214"/>
      <c r="FI13" s="214"/>
      <c r="FJ13" s="214"/>
      <c r="FK13" s="214"/>
      <c r="FL13" s="214"/>
      <c r="FM13" s="214"/>
      <c r="FN13" s="214"/>
      <c r="FO13" s="214"/>
      <c r="FP13" s="214"/>
      <c r="FQ13" s="214"/>
      <c r="FR13" s="214"/>
      <c r="FS13" s="214"/>
      <c r="FT13" s="214"/>
      <c r="FU13" s="214"/>
      <c r="FV13" s="214"/>
      <c r="FW13" s="214"/>
      <c r="FX13" s="214"/>
      <c r="FY13" s="214"/>
      <c r="FZ13" s="214"/>
      <c r="GA13" s="214"/>
      <c r="GB13" s="214"/>
      <c r="GC13" s="214"/>
      <c r="GD13" s="214"/>
      <c r="GE13" s="214"/>
      <c r="GF13" s="214"/>
      <c r="GG13" s="214"/>
      <c r="GH13" s="214"/>
      <c r="GI13" s="214"/>
      <c r="GJ13" s="214"/>
      <c r="GK13" s="214"/>
      <c r="GL13" s="214"/>
      <c r="GM13" s="214"/>
      <c r="GN13" s="214"/>
      <c r="GO13" s="214"/>
      <c r="GP13" s="214"/>
      <c r="GQ13" s="214"/>
      <c r="GR13" s="214"/>
      <c r="GS13" s="214"/>
      <c r="GT13" s="214"/>
      <c r="GU13" s="214"/>
      <c r="GV13" s="214"/>
      <c r="GW13" s="214"/>
      <c r="GX13" s="214"/>
      <c r="GY13" s="214"/>
      <c r="GZ13" s="214"/>
      <c r="HA13" s="214"/>
      <c r="HB13" s="214"/>
      <c r="HC13" s="214"/>
      <c r="HD13" s="214"/>
      <c r="HE13" s="214"/>
      <c r="HF13" s="214"/>
      <c r="HG13" s="214"/>
      <c r="HH13" s="214"/>
      <c r="HI13" s="214"/>
      <c r="HJ13" s="214"/>
      <c r="HK13" s="214"/>
      <c r="HL13" s="214"/>
      <c r="HM13" s="214"/>
      <c r="HN13" s="214"/>
      <c r="HO13" s="214"/>
      <c r="HP13" s="214"/>
      <c r="HQ13" s="214"/>
      <c r="HR13" s="214"/>
      <c r="HS13" s="214"/>
      <c r="HT13" s="214"/>
      <c r="HU13" s="214"/>
      <c r="HV13" s="214"/>
      <c r="HW13" s="214"/>
      <c r="HX13" s="214"/>
      <c r="HY13" s="214"/>
      <c r="HZ13" s="214"/>
      <c r="IA13" s="214"/>
      <c r="IB13" s="214"/>
      <c r="IC13" s="214"/>
      <c r="ID13" s="214"/>
      <c r="IE13" s="214"/>
      <c r="IF13" s="214"/>
      <c r="IG13" s="214"/>
      <c r="IH13" s="214"/>
      <c r="II13" s="214"/>
      <c r="IJ13" s="214"/>
      <c r="IK13" s="214"/>
      <c r="IL13" s="214"/>
      <c r="IM13" s="214"/>
      <c r="IN13" s="214"/>
      <c r="IO13" s="214"/>
      <c r="IP13" s="214"/>
      <c r="IQ13" s="214"/>
      <c r="IR13" s="214"/>
      <c r="IS13" s="214"/>
      <c r="IT13" s="214"/>
      <c r="IU13" s="214"/>
      <c r="IV13" s="214"/>
      <c r="IW13" s="214"/>
      <c r="IX13" s="214"/>
      <c r="IY13" s="214"/>
      <c r="IZ13" s="214"/>
      <c r="JA13" s="214"/>
      <c r="JB13" s="214"/>
      <c r="JC13" s="214"/>
      <c r="JD13" s="214"/>
      <c r="JE13" s="214"/>
      <c r="JF13" s="214"/>
      <c r="JG13" s="214"/>
      <c r="JH13" s="214"/>
      <c r="JI13" s="214"/>
    </row>
    <row r="14" spans="1:269" ht="15.75">
      <c r="A14" s="149" t="s">
        <v>94</v>
      </c>
      <c r="B14" s="152">
        <f>Invånare!B8</f>
        <v>2588</v>
      </c>
      <c r="C14" s="152">
        <f t="shared" si="2"/>
        <v>2764216.92</v>
      </c>
      <c r="D14" s="220">
        <f t="shared" si="0"/>
        <v>8.5246549622846599E-2</v>
      </c>
      <c r="E14" s="113">
        <f t="shared" si="1"/>
        <v>364876.63343999995</v>
      </c>
      <c r="F14" s="214"/>
      <c r="H14" s="149" t="s">
        <v>94</v>
      </c>
      <c r="I14" s="152">
        <v>2638</v>
      </c>
      <c r="J14" s="152"/>
      <c r="K14" s="113">
        <v>355782.73368</v>
      </c>
      <c r="M14" s="214"/>
      <c r="N14" s="291"/>
      <c r="O14" s="291"/>
      <c r="P14" s="291"/>
      <c r="Q14" s="291"/>
      <c r="R14" s="291"/>
      <c r="S14" s="291"/>
      <c r="T14" s="291"/>
      <c r="U14" s="291"/>
      <c r="V14" s="291"/>
      <c r="W14" s="291"/>
      <c r="X14" s="291"/>
      <c r="Y14" s="291"/>
      <c r="Z14" s="291"/>
      <c r="AA14" s="291"/>
      <c r="AB14" s="291"/>
      <c r="AC14" s="291"/>
      <c r="AD14" s="291"/>
      <c r="AE14" s="214"/>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c r="CG14" s="214"/>
      <c r="CH14" s="214"/>
      <c r="CI14" s="214"/>
      <c r="CJ14" s="214"/>
      <c r="CK14" s="214"/>
      <c r="CL14" s="214"/>
      <c r="CM14" s="214"/>
      <c r="CN14" s="214"/>
      <c r="CO14" s="214"/>
      <c r="CP14" s="214"/>
      <c r="CQ14" s="214"/>
      <c r="CR14" s="214"/>
      <c r="CS14" s="214"/>
      <c r="CT14" s="214"/>
      <c r="CU14" s="214"/>
      <c r="CV14" s="214"/>
      <c r="CW14" s="214"/>
      <c r="CX14" s="214"/>
      <c r="CY14" s="214"/>
      <c r="CZ14" s="214"/>
      <c r="DA14" s="214"/>
      <c r="DB14" s="214"/>
      <c r="DC14" s="214"/>
      <c r="DD14" s="214"/>
      <c r="DE14" s="214"/>
      <c r="DF14" s="214"/>
      <c r="DG14" s="214"/>
      <c r="DH14" s="214"/>
      <c r="DI14" s="214"/>
      <c r="DJ14" s="214"/>
      <c r="DK14" s="214"/>
      <c r="DL14" s="214"/>
      <c r="DM14" s="214"/>
      <c r="DN14" s="214"/>
      <c r="DO14" s="214"/>
      <c r="DP14" s="214"/>
      <c r="DQ14" s="214"/>
      <c r="DR14" s="214"/>
      <c r="DS14" s="214"/>
      <c r="DT14" s="214"/>
      <c r="DU14" s="214"/>
      <c r="DV14" s="214"/>
      <c r="DW14" s="214"/>
      <c r="DX14" s="214"/>
      <c r="DY14" s="214"/>
      <c r="DZ14" s="214"/>
      <c r="EA14" s="214"/>
      <c r="EB14" s="214"/>
      <c r="EC14" s="214"/>
      <c r="ED14" s="214"/>
      <c r="EE14" s="214"/>
      <c r="EF14" s="214"/>
      <c r="EG14" s="214"/>
      <c r="EH14" s="214"/>
      <c r="EI14" s="214"/>
      <c r="EJ14" s="214"/>
      <c r="EK14" s="214"/>
      <c r="EL14" s="214"/>
      <c r="EM14" s="214"/>
      <c r="EN14" s="214"/>
      <c r="EO14" s="214"/>
      <c r="EP14" s="214"/>
      <c r="EQ14" s="214"/>
      <c r="ER14" s="214"/>
      <c r="ES14" s="214"/>
      <c r="ET14" s="214"/>
      <c r="EU14" s="214"/>
      <c r="EV14" s="214"/>
      <c r="EW14" s="214"/>
      <c r="EX14" s="214"/>
      <c r="EY14" s="214"/>
      <c r="EZ14" s="214"/>
      <c r="FA14" s="214"/>
      <c r="FB14" s="214"/>
      <c r="FC14" s="214"/>
      <c r="FD14" s="214"/>
      <c r="FE14" s="214"/>
      <c r="FF14" s="214"/>
      <c r="FG14" s="214"/>
      <c r="FH14" s="214"/>
      <c r="FI14" s="214"/>
      <c r="FJ14" s="214"/>
      <c r="FK14" s="214"/>
      <c r="FL14" s="214"/>
      <c r="FM14" s="214"/>
      <c r="FN14" s="214"/>
      <c r="FO14" s="214"/>
      <c r="FP14" s="214"/>
      <c r="FQ14" s="214"/>
      <c r="FR14" s="214"/>
      <c r="FS14" s="214"/>
      <c r="FT14" s="214"/>
      <c r="FU14" s="214"/>
      <c r="FV14" s="214"/>
      <c r="FW14" s="214"/>
      <c r="FX14" s="214"/>
      <c r="FY14" s="214"/>
      <c r="FZ14" s="214"/>
      <c r="GA14" s="214"/>
      <c r="GB14" s="214"/>
      <c r="GC14" s="214"/>
      <c r="GD14" s="214"/>
      <c r="GE14" s="214"/>
      <c r="GF14" s="214"/>
      <c r="GG14" s="214"/>
      <c r="GH14" s="214"/>
      <c r="GI14" s="214"/>
      <c r="GJ14" s="214"/>
      <c r="GK14" s="214"/>
      <c r="GL14" s="214"/>
      <c r="GM14" s="214"/>
      <c r="GN14" s="214"/>
      <c r="GO14" s="214"/>
      <c r="GP14" s="214"/>
      <c r="GQ14" s="214"/>
      <c r="GR14" s="214"/>
      <c r="GS14" s="214"/>
      <c r="GT14" s="214"/>
      <c r="GU14" s="214"/>
      <c r="GV14" s="214"/>
      <c r="GW14" s="214"/>
      <c r="GX14" s="214"/>
      <c r="GY14" s="214"/>
      <c r="GZ14" s="214"/>
      <c r="HA14" s="214"/>
      <c r="HB14" s="214"/>
      <c r="HC14" s="214"/>
      <c r="HD14" s="214"/>
      <c r="HE14" s="214"/>
      <c r="HF14" s="214"/>
      <c r="HG14" s="214"/>
      <c r="HH14" s="214"/>
      <c r="HI14" s="214"/>
      <c r="HJ14" s="214"/>
      <c r="HK14" s="214"/>
      <c r="HL14" s="214"/>
      <c r="HM14" s="214"/>
      <c r="HN14" s="214"/>
      <c r="HO14" s="214"/>
      <c r="HP14" s="214"/>
      <c r="HQ14" s="214"/>
      <c r="HR14" s="214"/>
      <c r="HS14" s="214"/>
      <c r="HT14" s="214"/>
      <c r="HU14" s="214"/>
      <c r="HV14" s="214"/>
      <c r="HW14" s="214"/>
      <c r="HX14" s="214"/>
      <c r="HY14" s="214"/>
      <c r="HZ14" s="214"/>
      <c r="IA14" s="214"/>
      <c r="IB14" s="214"/>
      <c r="IC14" s="214"/>
      <c r="ID14" s="214"/>
      <c r="IE14" s="214"/>
      <c r="IF14" s="214"/>
      <c r="IG14" s="214"/>
      <c r="IH14" s="214"/>
      <c r="II14" s="214"/>
      <c r="IJ14" s="214"/>
      <c r="IK14" s="214"/>
      <c r="IL14" s="214"/>
      <c r="IM14" s="214"/>
      <c r="IN14" s="214"/>
      <c r="IO14" s="214"/>
      <c r="IP14" s="214"/>
      <c r="IQ14" s="214"/>
      <c r="IR14" s="214"/>
      <c r="IS14" s="214"/>
      <c r="IT14" s="214"/>
      <c r="IU14" s="214"/>
      <c r="IV14" s="214"/>
      <c r="IW14" s="214"/>
      <c r="IX14" s="214"/>
      <c r="IY14" s="214"/>
      <c r="IZ14" s="214"/>
      <c r="JA14" s="214"/>
      <c r="JB14" s="214"/>
      <c r="JC14" s="214"/>
      <c r="JD14" s="214"/>
      <c r="JE14" s="214"/>
      <c r="JF14" s="214"/>
      <c r="JG14" s="214"/>
      <c r="JH14" s="214"/>
      <c r="JI14" s="214"/>
    </row>
    <row r="15" spans="1:269" ht="15.75">
      <c r="A15" s="149" t="s">
        <v>95</v>
      </c>
      <c r="B15" s="152">
        <f>Invånare!B9</f>
        <v>504</v>
      </c>
      <c r="C15" s="152">
        <f t="shared" si="2"/>
        <v>538317.36</v>
      </c>
      <c r="D15" s="220">
        <f t="shared" si="0"/>
        <v>1.6601337329951581E-2</v>
      </c>
      <c r="E15" s="113">
        <f t="shared" si="1"/>
        <v>71057.89151999999</v>
      </c>
      <c r="F15" s="214"/>
      <c r="H15" s="149" t="s">
        <v>95</v>
      </c>
      <c r="I15" s="152">
        <v>501</v>
      </c>
      <c r="J15" s="152"/>
      <c r="K15" s="113">
        <v>67569.048360000001</v>
      </c>
      <c r="M15" s="214"/>
      <c r="N15" s="291"/>
      <c r="O15" s="291"/>
      <c r="P15" s="291"/>
      <c r="Q15" s="291"/>
      <c r="R15" s="291"/>
      <c r="S15" s="291"/>
      <c r="T15" s="291"/>
      <c r="U15" s="291"/>
      <c r="V15" s="291"/>
      <c r="W15" s="291"/>
      <c r="X15" s="291"/>
      <c r="Y15" s="291"/>
      <c r="Z15" s="291"/>
      <c r="AA15" s="291"/>
      <c r="AB15" s="291"/>
      <c r="AC15" s="291"/>
      <c r="AD15" s="291"/>
      <c r="AE15" s="214"/>
      <c r="AF15" s="214"/>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c r="BI15" s="214"/>
      <c r="BJ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c r="CF15" s="214"/>
      <c r="CG15" s="214"/>
      <c r="CH15" s="214"/>
      <c r="CI15" s="214"/>
      <c r="CJ15" s="214"/>
      <c r="CK15" s="214"/>
      <c r="CL15" s="214"/>
      <c r="CM15" s="214"/>
      <c r="CN15" s="214"/>
      <c r="CO15" s="214"/>
      <c r="CP15" s="214"/>
      <c r="CQ15" s="214"/>
      <c r="CR15" s="214"/>
      <c r="CS15" s="214"/>
      <c r="CT15" s="214"/>
      <c r="CU15" s="214"/>
      <c r="CV15" s="214"/>
      <c r="CW15" s="214"/>
      <c r="CX15" s="214"/>
      <c r="CY15" s="214"/>
      <c r="CZ15" s="214"/>
      <c r="DA15" s="214"/>
      <c r="DB15" s="214"/>
      <c r="DC15" s="214"/>
      <c r="DD15" s="214"/>
      <c r="DE15" s="214"/>
      <c r="DF15" s="214"/>
      <c r="DG15" s="214"/>
      <c r="DH15" s="214"/>
      <c r="DI15" s="214"/>
      <c r="DJ15" s="214"/>
      <c r="DK15" s="214"/>
      <c r="DL15" s="214"/>
      <c r="DM15" s="214"/>
      <c r="DN15" s="214"/>
      <c r="DO15" s="214"/>
      <c r="DP15" s="214"/>
      <c r="DQ15" s="214"/>
      <c r="DR15" s="214"/>
      <c r="DS15" s="214"/>
      <c r="DT15" s="214"/>
      <c r="DU15" s="214"/>
      <c r="DV15" s="214"/>
      <c r="DW15" s="214"/>
      <c r="DX15" s="214"/>
      <c r="DY15" s="214"/>
      <c r="DZ15" s="214"/>
      <c r="EA15" s="214"/>
      <c r="EB15" s="214"/>
      <c r="EC15" s="214"/>
      <c r="ED15" s="214"/>
      <c r="EE15" s="214"/>
      <c r="EF15" s="214"/>
      <c r="EG15" s="214"/>
      <c r="EH15" s="214"/>
      <c r="EI15" s="214"/>
      <c r="EJ15" s="214"/>
      <c r="EK15" s="214"/>
      <c r="EL15" s="214"/>
      <c r="EM15" s="214"/>
      <c r="EN15" s="214"/>
      <c r="EO15" s="214"/>
      <c r="EP15" s="214"/>
      <c r="EQ15" s="214"/>
      <c r="ER15" s="214"/>
      <c r="ES15" s="214"/>
      <c r="ET15" s="214"/>
      <c r="EU15" s="214"/>
      <c r="EV15" s="214"/>
      <c r="EW15" s="214"/>
      <c r="EX15" s="214"/>
      <c r="EY15" s="214"/>
      <c r="EZ15" s="214"/>
      <c r="FA15" s="214"/>
      <c r="FB15" s="214"/>
      <c r="FC15" s="214"/>
      <c r="FD15" s="214"/>
      <c r="FE15" s="214"/>
      <c r="FF15" s="214"/>
      <c r="FG15" s="214"/>
      <c r="FH15" s="214"/>
      <c r="FI15" s="214"/>
      <c r="FJ15" s="214"/>
      <c r="FK15" s="214"/>
      <c r="FL15" s="214"/>
      <c r="FM15" s="214"/>
      <c r="FN15" s="214"/>
      <c r="FO15" s="214"/>
      <c r="FP15" s="214"/>
      <c r="FQ15" s="214"/>
      <c r="FR15" s="214"/>
      <c r="FS15" s="214"/>
      <c r="FT15" s="214"/>
      <c r="FU15" s="214"/>
      <c r="FV15" s="214"/>
      <c r="FW15" s="214"/>
      <c r="FX15" s="214"/>
      <c r="FY15" s="214"/>
      <c r="FZ15" s="214"/>
      <c r="GA15" s="214"/>
      <c r="GB15" s="214"/>
      <c r="GC15" s="214"/>
      <c r="GD15" s="214"/>
      <c r="GE15" s="214"/>
      <c r="GF15" s="214"/>
      <c r="GG15" s="214"/>
      <c r="GH15" s="214"/>
      <c r="GI15" s="214"/>
      <c r="GJ15" s="214"/>
      <c r="GK15" s="214"/>
      <c r="GL15" s="214"/>
      <c r="GM15" s="214"/>
      <c r="GN15" s="214"/>
      <c r="GO15" s="214"/>
      <c r="GP15" s="214"/>
      <c r="GQ15" s="214"/>
      <c r="GR15" s="214"/>
      <c r="GS15" s="214"/>
      <c r="GT15" s="214"/>
      <c r="GU15" s="214"/>
      <c r="GV15" s="214"/>
      <c r="GW15" s="214"/>
      <c r="GX15" s="214"/>
      <c r="GY15" s="214"/>
      <c r="GZ15" s="214"/>
      <c r="HA15" s="214"/>
      <c r="HB15" s="214"/>
      <c r="HC15" s="214"/>
      <c r="HD15" s="214"/>
      <c r="HE15" s="214"/>
      <c r="HF15" s="214"/>
      <c r="HG15" s="214"/>
      <c r="HH15" s="214"/>
      <c r="HI15" s="214"/>
      <c r="HJ15" s="214"/>
      <c r="HK15" s="214"/>
      <c r="HL15" s="214"/>
      <c r="HM15" s="214"/>
      <c r="HN15" s="214"/>
      <c r="HO15" s="214"/>
      <c r="HP15" s="214"/>
      <c r="HQ15" s="214"/>
      <c r="HR15" s="214"/>
      <c r="HS15" s="214"/>
      <c r="HT15" s="214"/>
      <c r="HU15" s="214"/>
      <c r="HV15" s="214"/>
      <c r="HW15" s="214"/>
      <c r="HX15" s="214"/>
      <c r="HY15" s="214"/>
      <c r="HZ15" s="214"/>
      <c r="IA15" s="214"/>
      <c r="IB15" s="214"/>
      <c r="IC15" s="214"/>
      <c r="ID15" s="214"/>
      <c r="IE15" s="214"/>
      <c r="IF15" s="214"/>
      <c r="IG15" s="214"/>
      <c r="IH15" s="214"/>
      <c r="II15" s="214"/>
      <c r="IJ15" s="214"/>
      <c r="IK15" s="214"/>
      <c r="IL15" s="214"/>
      <c r="IM15" s="214"/>
      <c r="IN15" s="214"/>
      <c r="IO15" s="214"/>
      <c r="IP15" s="214"/>
      <c r="IQ15" s="214"/>
      <c r="IR15" s="214"/>
      <c r="IS15" s="214"/>
      <c r="IT15" s="214"/>
      <c r="IU15" s="214"/>
      <c r="IV15" s="214"/>
      <c r="IW15" s="214"/>
      <c r="IX15" s="214"/>
      <c r="IY15" s="214"/>
      <c r="IZ15" s="214"/>
      <c r="JA15" s="214"/>
      <c r="JB15" s="214"/>
      <c r="JC15" s="214"/>
      <c r="JD15" s="214"/>
      <c r="JE15" s="214"/>
      <c r="JF15" s="214"/>
      <c r="JG15" s="214"/>
      <c r="JH15" s="214"/>
      <c r="JI15" s="214"/>
    </row>
    <row r="16" spans="1:269" ht="15.75">
      <c r="A16" s="149" t="s">
        <v>96</v>
      </c>
      <c r="B16" s="152">
        <f>Invånare!B10</f>
        <v>507</v>
      </c>
      <c r="C16" s="152">
        <f t="shared" si="2"/>
        <v>541521.63</v>
      </c>
      <c r="D16" s="220">
        <f t="shared" si="0"/>
        <v>1.6700154814058434E-2</v>
      </c>
      <c r="E16" s="113">
        <f t="shared" si="1"/>
        <v>71480.855159999992</v>
      </c>
      <c r="F16" s="214"/>
      <c r="H16" s="149" t="s">
        <v>96</v>
      </c>
      <c r="I16" s="152">
        <v>505</v>
      </c>
      <c r="J16" s="152"/>
      <c r="K16" s="113">
        <v>68108.521800000002</v>
      </c>
      <c r="M16" s="214"/>
      <c r="N16" s="291"/>
      <c r="O16" s="291"/>
      <c r="P16" s="291"/>
      <c r="Q16" s="291"/>
      <c r="R16" s="291"/>
      <c r="S16" s="291"/>
      <c r="T16" s="291"/>
      <c r="U16" s="291"/>
      <c r="V16" s="291"/>
      <c r="W16" s="291"/>
      <c r="X16" s="291"/>
      <c r="Y16" s="291"/>
      <c r="Z16" s="291"/>
      <c r="AA16" s="291"/>
      <c r="AB16" s="291"/>
      <c r="AC16" s="291"/>
      <c r="AD16" s="291"/>
      <c r="AE16" s="214"/>
      <c r="AF16" s="214"/>
      <c r="AG16" s="214"/>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c r="BY16" s="214"/>
      <c r="BZ16" s="214"/>
      <c r="CA16" s="214"/>
      <c r="CB16" s="214"/>
      <c r="CC16" s="214"/>
      <c r="CD16" s="214"/>
      <c r="CE16" s="214"/>
      <c r="CF16" s="214"/>
      <c r="CG16" s="214"/>
      <c r="CH16" s="214"/>
      <c r="CI16" s="214"/>
      <c r="CJ16" s="214"/>
      <c r="CK16" s="214"/>
      <c r="CL16" s="214"/>
      <c r="CM16" s="214"/>
      <c r="CN16" s="214"/>
      <c r="CO16" s="214"/>
      <c r="CP16" s="214"/>
      <c r="CQ16" s="214"/>
      <c r="CR16" s="214"/>
      <c r="CS16" s="214"/>
      <c r="CT16" s="214"/>
      <c r="CU16" s="214"/>
      <c r="CV16" s="214"/>
      <c r="CW16" s="214"/>
      <c r="CX16" s="214"/>
      <c r="CY16" s="214"/>
      <c r="CZ16" s="214"/>
      <c r="DA16" s="214"/>
      <c r="DB16" s="214"/>
      <c r="DC16" s="214"/>
      <c r="DD16" s="214"/>
      <c r="DE16" s="214"/>
      <c r="DF16" s="214"/>
      <c r="DG16" s="214"/>
      <c r="DH16" s="214"/>
      <c r="DI16" s="214"/>
      <c r="DJ16" s="214"/>
      <c r="DK16" s="214"/>
      <c r="DL16" s="214"/>
      <c r="DM16" s="214"/>
      <c r="DN16" s="214"/>
      <c r="DO16" s="214"/>
      <c r="DP16" s="214"/>
      <c r="DQ16" s="214"/>
      <c r="DR16" s="214"/>
      <c r="DS16" s="214"/>
      <c r="DT16" s="214"/>
      <c r="DU16" s="214"/>
      <c r="DV16" s="214"/>
      <c r="DW16" s="214"/>
      <c r="DX16" s="214"/>
      <c r="DY16" s="214"/>
      <c r="DZ16" s="214"/>
      <c r="EA16" s="214"/>
      <c r="EB16" s="214"/>
      <c r="EC16" s="214"/>
      <c r="ED16" s="214"/>
      <c r="EE16" s="214"/>
      <c r="EF16" s="214"/>
      <c r="EG16" s="214"/>
      <c r="EH16" s="214"/>
      <c r="EI16" s="214"/>
      <c r="EJ16" s="214"/>
      <c r="EK16" s="214"/>
      <c r="EL16" s="214"/>
      <c r="EM16" s="214"/>
      <c r="EN16" s="214"/>
      <c r="EO16" s="214"/>
      <c r="EP16" s="214"/>
      <c r="EQ16" s="214"/>
      <c r="ER16" s="214"/>
      <c r="ES16" s="214"/>
      <c r="ET16" s="214"/>
      <c r="EU16" s="214"/>
      <c r="EV16" s="214"/>
      <c r="EW16" s="214"/>
      <c r="EX16" s="214"/>
      <c r="EY16" s="214"/>
      <c r="EZ16" s="214"/>
      <c r="FA16" s="214"/>
      <c r="FB16" s="214"/>
      <c r="FC16" s="214"/>
      <c r="FD16" s="214"/>
      <c r="FE16" s="214"/>
      <c r="FF16" s="214"/>
      <c r="FG16" s="214"/>
      <c r="FH16" s="214"/>
      <c r="FI16" s="214"/>
      <c r="FJ16" s="214"/>
      <c r="FK16" s="214"/>
      <c r="FL16" s="214"/>
      <c r="FM16" s="214"/>
      <c r="FN16" s="214"/>
      <c r="FO16" s="214"/>
      <c r="FP16" s="214"/>
      <c r="FQ16" s="214"/>
      <c r="FR16" s="214"/>
      <c r="FS16" s="214"/>
      <c r="FT16" s="214"/>
      <c r="FU16" s="214"/>
      <c r="FV16" s="214"/>
      <c r="FW16" s="214"/>
      <c r="FX16" s="214"/>
      <c r="FY16" s="214"/>
      <c r="FZ16" s="214"/>
      <c r="GA16" s="214"/>
      <c r="GB16" s="214"/>
      <c r="GC16" s="214"/>
      <c r="GD16" s="214"/>
      <c r="GE16" s="214"/>
      <c r="GF16" s="214"/>
      <c r="GG16" s="214"/>
      <c r="GH16" s="214"/>
      <c r="GI16" s="214"/>
      <c r="GJ16" s="214"/>
      <c r="GK16" s="214"/>
      <c r="GL16" s="214"/>
      <c r="GM16" s="214"/>
      <c r="GN16" s="214"/>
      <c r="GO16" s="214"/>
      <c r="GP16" s="214"/>
      <c r="GQ16" s="214"/>
      <c r="GR16" s="214"/>
      <c r="GS16" s="214"/>
      <c r="GT16" s="214"/>
      <c r="GU16" s="214"/>
      <c r="GV16" s="214"/>
      <c r="GW16" s="214"/>
      <c r="GX16" s="214"/>
      <c r="GY16" s="214"/>
      <c r="GZ16" s="214"/>
      <c r="HA16" s="214"/>
      <c r="HB16" s="214"/>
      <c r="HC16" s="214"/>
      <c r="HD16" s="214"/>
      <c r="HE16" s="214"/>
      <c r="HF16" s="214"/>
      <c r="HG16" s="214"/>
      <c r="HH16" s="214"/>
      <c r="HI16" s="214"/>
      <c r="HJ16" s="214"/>
      <c r="HK16" s="214"/>
      <c r="HL16" s="214"/>
      <c r="HM16" s="214"/>
      <c r="HN16" s="214"/>
      <c r="HO16" s="214"/>
      <c r="HP16" s="214"/>
      <c r="HQ16" s="214"/>
      <c r="HR16" s="214"/>
      <c r="HS16" s="214"/>
      <c r="HT16" s="214"/>
      <c r="HU16" s="214"/>
      <c r="HV16" s="214"/>
      <c r="HW16" s="214"/>
      <c r="HX16" s="214"/>
      <c r="HY16" s="214"/>
      <c r="HZ16" s="214"/>
      <c r="IA16" s="214"/>
      <c r="IB16" s="214"/>
      <c r="IC16" s="214"/>
      <c r="ID16" s="214"/>
      <c r="IE16" s="214"/>
      <c r="IF16" s="214"/>
      <c r="IG16" s="214"/>
      <c r="IH16" s="214"/>
      <c r="II16" s="214"/>
      <c r="IJ16" s="214"/>
      <c r="IK16" s="214"/>
      <c r="IL16" s="214"/>
      <c r="IM16" s="214"/>
      <c r="IN16" s="214"/>
      <c r="IO16" s="214"/>
      <c r="IP16" s="214"/>
      <c r="IQ16" s="214"/>
      <c r="IR16" s="214"/>
      <c r="IS16" s="214"/>
      <c r="IT16" s="214"/>
      <c r="IU16" s="214"/>
      <c r="IV16" s="214"/>
      <c r="IW16" s="214"/>
      <c r="IX16" s="214"/>
      <c r="IY16" s="214"/>
      <c r="IZ16" s="214"/>
      <c r="JA16" s="214"/>
      <c r="JB16" s="214"/>
      <c r="JC16" s="214"/>
      <c r="JD16" s="214"/>
      <c r="JE16" s="214"/>
      <c r="JF16" s="214"/>
      <c r="JG16" s="214"/>
      <c r="JH16" s="214"/>
      <c r="JI16" s="214"/>
    </row>
    <row r="17" spans="1:269" ht="15.75">
      <c r="A17" s="149" t="s">
        <v>97</v>
      </c>
      <c r="B17" s="152">
        <f>Invånare!B11</f>
        <v>1628</v>
      </c>
      <c r="C17" s="152">
        <f t="shared" si="2"/>
        <v>1738850.5199999998</v>
      </c>
      <c r="D17" s="220">
        <f t="shared" si="0"/>
        <v>5.3624954708653118E-2</v>
      </c>
      <c r="E17" s="113">
        <f t="shared" si="1"/>
        <v>229528.26863999999</v>
      </c>
      <c r="F17" s="214"/>
      <c r="H17" s="149" t="s">
        <v>97</v>
      </c>
      <c r="I17" s="152">
        <v>1619</v>
      </c>
      <c r="J17" s="152"/>
      <c r="K17" s="113">
        <v>218351.87484</v>
      </c>
      <c r="M17" s="214"/>
      <c r="N17" s="291"/>
      <c r="O17" s="291"/>
      <c r="P17" s="291"/>
      <c r="Q17" s="291"/>
      <c r="R17" s="291"/>
      <c r="S17" s="291"/>
      <c r="T17" s="291"/>
      <c r="U17" s="291"/>
      <c r="V17" s="291"/>
      <c r="W17" s="291"/>
      <c r="X17" s="291"/>
      <c r="Y17" s="291"/>
      <c r="Z17" s="291"/>
      <c r="AA17" s="291"/>
      <c r="AB17" s="291"/>
      <c r="AC17" s="291"/>
      <c r="AD17" s="291"/>
      <c r="AE17" s="214"/>
      <c r="AF17" s="214"/>
      <c r="AG17" s="214"/>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c r="BY17" s="214"/>
      <c r="BZ17" s="214"/>
      <c r="CA17" s="214"/>
      <c r="CB17" s="214"/>
      <c r="CC17" s="214"/>
      <c r="CD17" s="214"/>
      <c r="CE17" s="214"/>
      <c r="CF17" s="214"/>
      <c r="CG17" s="214"/>
      <c r="CH17" s="214"/>
      <c r="CI17" s="214"/>
      <c r="CJ17" s="214"/>
      <c r="CK17" s="214"/>
      <c r="CL17" s="214"/>
      <c r="CM17" s="214"/>
      <c r="CN17" s="214"/>
      <c r="CO17" s="214"/>
      <c r="CP17" s="214"/>
      <c r="CQ17" s="214"/>
      <c r="CR17" s="214"/>
      <c r="CS17" s="214"/>
      <c r="CT17" s="214"/>
      <c r="CU17" s="214"/>
      <c r="CV17" s="214"/>
      <c r="CW17" s="214"/>
      <c r="CX17" s="214"/>
      <c r="CY17" s="214"/>
      <c r="CZ17" s="214"/>
      <c r="DA17" s="214"/>
      <c r="DB17" s="214"/>
      <c r="DC17" s="214"/>
      <c r="DD17" s="214"/>
      <c r="DE17" s="214"/>
      <c r="DF17" s="214"/>
      <c r="DG17" s="214"/>
      <c r="DH17" s="214"/>
      <c r="DI17" s="214"/>
      <c r="DJ17" s="214"/>
      <c r="DK17" s="214"/>
      <c r="DL17" s="214"/>
      <c r="DM17" s="214"/>
      <c r="DN17" s="214"/>
      <c r="DO17" s="214"/>
      <c r="DP17" s="214"/>
      <c r="DQ17" s="214"/>
      <c r="DR17" s="214"/>
      <c r="DS17" s="214"/>
      <c r="DT17" s="214"/>
      <c r="DU17" s="214"/>
      <c r="DV17" s="214"/>
      <c r="DW17" s="214"/>
      <c r="DX17" s="214"/>
      <c r="DY17" s="214"/>
      <c r="DZ17" s="214"/>
      <c r="EA17" s="214"/>
      <c r="EB17" s="214"/>
      <c r="EC17" s="214"/>
      <c r="ED17" s="214"/>
      <c r="EE17" s="214"/>
      <c r="EF17" s="214"/>
      <c r="EG17" s="214"/>
      <c r="EH17" s="214"/>
      <c r="EI17" s="214"/>
      <c r="EJ17" s="214"/>
      <c r="EK17" s="214"/>
      <c r="EL17" s="214"/>
      <c r="EM17" s="214"/>
      <c r="EN17" s="214"/>
      <c r="EO17" s="214"/>
      <c r="EP17" s="214"/>
      <c r="EQ17" s="214"/>
      <c r="ER17" s="214"/>
      <c r="ES17" s="214"/>
      <c r="ET17" s="214"/>
      <c r="EU17" s="214"/>
      <c r="EV17" s="214"/>
      <c r="EW17" s="214"/>
      <c r="EX17" s="214"/>
      <c r="EY17" s="214"/>
      <c r="EZ17" s="214"/>
      <c r="FA17" s="214"/>
      <c r="FB17" s="214"/>
      <c r="FC17" s="214"/>
      <c r="FD17" s="214"/>
      <c r="FE17" s="214"/>
      <c r="FF17" s="214"/>
      <c r="FG17" s="214"/>
      <c r="FH17" s="214"/>
      <c r="FI17" s="214"/>
      <c r="FJ17" s="214"/>
      <c r="FK17" s="214"/>
      <c r="FL17" s="214"/>
      <c r="FM17" s="214"/>
      <c r="FN17" s="214"/>
      <c r="FO17" s="214"/>
      <c r="FP17" s="214"/>
      <c r="FQ17" s="214"/>
      <c r="FR17" s="214"/>
      <c r="FS17" s="214"/>
      <c r="FT17" s="214"/>
      <c r="FU17" s="214"/>
      <c r="FV17" s="214"/>
      <c r="FW17" s="214"/>
      <c r="FX17" s="214"/>
      <c r="FY17" s="214"/>
      <c r="FZ17" s="214"/>
      <c r="GA17" s="214"/>
      <c r="GB17" s="214"/>
      <c r="GC17" s="214"/>
      <c r="GD17" s="214"/>
      <c r="GE17" s="214"/>
      <c r="GF17" s="214"/>
      <c r="GG17" s="214"/>
      <c r="GH17" s="214"/>
      <c r="GI17" s="214"/>
      <c r="GJ17" s="214"/>
      <c r="GK17" s="214"/>
      <c r="GL17" s="214"/>
      <c r="GM17" s="214"/>
      <c r="GN17" s="214"/>
      <c r="GO17" s="214"/>
      <c r="GP17" s="214"/>
      <c r="GQ17" s="214"/>
      <c r="GR17" s="214"/>
      <c r="GS17" s="214"/>
      <c r="GT17" s="214"/>
      <c r="GU17" s="214"/>
      <c r="GV17" s="214"/>
      <c r="GW17" s="214"/>
      <c r="GX17" s="214"/>
      <c r="GY17" s="214"/>
      <c r="GZ17" s="214"/>
      <c r="HA17" s="214"/>
      <c r="HB17" s="214"/>
      <c r="HC17" s="214"/>
      <c r="HD17" s="214"/>
      <c r="HE17" s="214"/>
      <c r="HF17" s="214"/>
      <c r="HG17" s="214"/>
      <c r="HH17" s="214"/>
      <c r="HI17" s="214"/>
      <c r="HJ17" s="214"/>
      <c r="HK17" s="214"/>
      <c r="HL17" s="214"/>
      <c r="HM17" s="214"/>
      <c r="HN17" s="214"/>
      <c r="HO17" s="214"/>
      <c r="HP17" s="214"/>
      <c r="HQ17" s="214"/>
      <c r="HR17" s="214"/>
      <c r="HS17" s="214"/>
      <c r="HT17" s="214"/>
      <c r="HU17" s="214"/>
      <c r="HV17" s="214"/>
      <c r="HW17" s="214"/>
      <c r="HX17" s="214"/>
      <c r="HY17" s="214"/>
      <c r="HZ17" s="214"/>
      <c r="IA17" s="214"/>
      <c r="IB17" s="214"/>
      <c r="IC17" s="214"/>
      <c r="ID17" s="214"/>
      <c r="IE17" s="214"/>
      <c r="IF17" s="214"/>
      <c r="IG17" s="214"/>
      <c r="IH17" s="214"/>
      <c r="II17" s="214"/>
      <c r="IJ17" s="214"/>
      <c r="IK17" s="214"/>
      <c r="IL17" s="214"/>
      <c r="IM17" s="214"/>
      <c r="IN17" s="214"/>
      <c r="IO17" s="214"/>
      <c r="IP17" s="214"/>
      <c r="IQ17" s="214"/>
      <c r="IR17" s="214"/>
      <c r="IS17" s="214"/>
      <c r="IT17" s="214"/>
      <c r="IU17" s="214"/>
      <c r="IV17" s="214"/>
      <c r="IW17" s="214"/>
      <c r="IX17" s="214"/>
      <c r="IY17" s="214"/>
      <c r="IZ17" s="214"/>
      <c r="JA17" s="214"/>
      <c r="JB17" s="214"/>
      <c r="JC17" s="214"/>
      <c r="JD17" s="214"/>
      <c r="JE17" s="214"/>
      <c r="JF17" s="214"/>
      <c r="JG17" s="214"/>
      <c r="JH17" s="214"/>
      <c r="JI17" s="214"/>
    </row>
    <row r="18" spans="1:269" ht="15.75">
      <c r="A18" s="149" t="s">
        <v>98</v>
      </c>
      <c r="B18" s="152">
        <f>Invånare!B12</f>
        <v>5610</v>
      </c>
      <c r="C18" s="152">
        <f t="shared" si="2"/>
        <v>5991984.8999999994</v>
      </c>
      <c r="D18" s="220">
        <f t="shared" si="0"/>
        <v>0.18478869527981817</v>
      </c>
      <c r="E18" s="113">
        <f t="shared" si="1"/>
        <v>790942.00679999997</v>
      </c>
      <c r="F18" s="214"/>
      <c r="H18" s="149" t="s">
        <v>98</v>
      </c>
      <c r="I18" s="152">
        <v>5512</v>
      </c>
      <c r="J18" s="152"/>
      <c r="K18" s="113">
        <v>743394.40032000002</v>
      </c>
      <c r="M18" s="214"/>
      <c r="N18" s="291"/>
      <c r="O18" s="291"/>
      <c r="P18" s="291"/>
      <c r="Q18" s="291"/>
      <c r="R18" s="291"/>
      <c r="S18" s="291"/>
      <c r="T18" s="291"/>
      <c r="U18" s="291"/>
      <c r="V18" s="291"/>
      <c r="W18" s="291"/>
      <c r="X18" s="291"/>
      <c r="Y18" s="291"/>
      <c r="Z18" s="291"/>
      <c r="AA18" s="291"/>
      <c r="AB18" s="291"/>
      <c r="AC18" s="291"/>
      <c r="AD18" s="291"/>
      <c r="AE18" s="214"/>
      <c r="AF18" s="214"/>
      <c r="AG18" s="214"/>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4"/>
      <c r="CG18" s="214"/>
      <c r="CH18" s="214"/>
      <c r="CI18" s="214"/>
      <c r="CJ18" s="214"/>
      <c r="CK18" s="214"/>
      <c r="CL18" s="214"/>
      <c r="CM18" s="214"/>
      <c r="CN18" s="214"/>
      <c r="CO18" s="214"/>
      <c r="CP18" s="214"/>
      <c r="CQ18" s="214"/>
      <c r="CR18" s="214"/>
      <c r="CS18" s="214"/>
      <c r="CT18" s="214"/>
      <c r="CU18" s="214"/>
      <c r="CV18" s="214"/>
      <c r="CW18" s="214"/>
      <c r="CX18" s="214"/>
      <c r="CY18" s="214"/>
      <c r="CZ18" s="214"/>
      <c r="DA18" s="214"/>
      <c r="DB18" s="214"/>
      <c r="DC18" s="214"/>
      <c r="DD18" s="214"/>
      <c r="DE18" s="214"/>
      <c r="DF18" s="214"/>
      <c r="DG18" s="214"/>
      <c r="DH18" s="214"/>
      <c r="DI18" s="214"/>
      <c r="DJ18" s="214"/>
      <c r="DK18" s="214"/>
      <c r="DL18" s="214"/>
      <c r="DM18" s="214"/>
      <c r="DN18" s="214"/>
      <c r="DO18" s="214"/>
      <c r="DP18" s="214"/>
      <c r="DQ18" s="214"/>
      <c r="DR18" s="214"/>
      <c r="DS18" s="214"/>
      <c r="DT18" s="214"/>
      <c r="DU18" s="214"/>
      <c r="DV18" s="214"/>
      <c r="DW18" s="214"/>
      <c r="DX18" s="214"/>
      <c r="DY18" s="214"/>
      <c r="DZ18" s="214"/>
      <c r="EA18" s="214"/>
      <c r="EB18" s="214"/>
      <c r="EC18" s="214"/>
      <c r="ED18" s="214"/>
      <c r="EE18" s="214"/>
      <c r="EF18" s="214"/>
      <c r="EG18" s="214"/>
      <c r="EH18" s="214"/>
      <c r="EI18" s="214"/>
      <c r="EJ18" s="214"/>
      <c r="EK18" s="214"/>
      <c r="EL18" s="214"/>
      <c r="EM18" s="214"/>
      <c r="EN18" s="214"/>
      <c r="EO18" s="214"/>
      <c r="EP18" s="214"/>
      <c r="EQ18" s="214"/>
      <c r="ER18" s="214"/>
      <c r="ES18" s="214"/>
      <c r="ET18" s="214"/>
      <c r="EU18" s="214"/>
      <c r="EV18" s="214"/>
      <c r="EW18" s="214"/>
      <c r="EX18" s="214"/>
      <c r="EY18" s="214"/>
      <c r="EZ18" s="214"/>
      <c r="FA18" s="214"/>
      <c r="FB18" s="214"/>
      <c r="FC18" s="214"/>
      <c r="FD18" s="214"/>
      <c r="FE18" s="214"/>
      <c r="FF18" s="214"/>
      <c r="FG18" s="214"/>
      <c r="FH18" s="214"/>
      <c r="FI18" s="214"/>
      <c r="FJ18" s="214"/>
      <c r="FK18" s="214"/>
      <c r="FL18" s="214"/>
      <c r="FM18" s="214"/>
      <c r="FN18" s="214"/>
      <c r="FO18" s="214"/>
      <c r="FP18" s="214"/>
      <c r="FQ18" s="214"/>
      <c r="FR18" s="214"/>
      <c r="FS18" s="214"/>
      <c r="FT18" s="214"/>
      <c r="FU18" s="214"/>
      <c r="FV18" s="214"/>
      <c r="FW18" s="214"/>
      <c r="FX18" s="214"/>
      <c r="FY18" s="214"/>
      <c r="FZ18" s="214"/>
      <c r="GA18" s="214"/>
      <c r="GB18" s="214"/>
      <c r="GC18" s="214"/>
      <c r="GD18" s="214"/>
      <c r="GE18" s="214"/>
      <c r="GF18" s="214"/>
      <c r="GG18" s="214"/>
      <c r="GH18" s="214"/>
      <c r="GI18" s="214"/>
      <c r="GJ18" s="214"/>
      <c r="GK18" s="214"/>
      <c r="GL18" s="214"/>
      <c r="GM18" s="214"/>
      <c r="GN18" s="214"/>
      <c r="GO18" s="214"/>
      <c r="GP18" s="214"/>
      <c r="GQ18" s="214"/>
      <c r="GR18" s="214"/>
      <c r="GS18" s="214"/>
      <c r="GT18" s="214"/>
      <c r="GU18" s="214"/>
      <c r="GV18" s="214"/>
      <c r="GW18" s="214"/>
      <c r="GX18" s="214"/>
      <c r="GY18" s="214"/>
      <c r="GZ18" s="214"/>
      <c r="HA18" s="214"/>
      <c r="HB18" s="214"/>
      <c r="HC18" s="214"/>
      <c r="HD18" s="214"/>
      <c r="HE18" s="214"/>
      <c r="HF18" s="214"/>
      <c r="HG18" s="214"/>
      <c r="HH18" s="214"/>
      <c r="HI18" s="214"/>
      <c r="HJ18" s="214"/>
      <c r="HK18" s="214"/>
      <c r="HL18" s="214"/>
      <c r="HM18" s="214"/>
      <c r="HN18" s="214"/>
      <c r="HO18" s="214"/>
      <c r="HP18" s="214"/>
      <c r="HQ18" s="214"/>
      <c r="HR18" s="214"/>
      <c r="HS18" s="214"/>
      <c r="HT18" s="214"/>
      <c r="HU18" s="214"/>
      <c r="HV18" s="214"/>
      <c r="HW18" s="214"/>
      <c r="HX18" s="214"/>
      <c r="HY18" s="214"/>
      <c r="HZ18" s="214"/>
      <c r="IA18" s="214"/>
      <c r="IB18" s="214"/>
      <c r="IC18" s="214"/>
      <c r="ID18" s="214"/>
      <c r="IE18" s="214"/>
      <c r="IF18" s="214"/>
      <c r="IG18" s="214"/>
      <c r="IH18" s="214"/>
      <c r="II18" s="214"/>
      <c r="IJ18" s="214"/>
      <c r="IK18" s="214"/>
      <c r="IL18" s="214"/>
      <c r="IM18" s="214"/>
      <c r="IN18" s="214"/>
      <c r="IO18" s="214"/>
      <c r="IP18" s="214"/>
      <c r="IQ18" s="214"/>
      <c r="IR18" s="214"/>
      <c r="IS18" s="214"/>
      <c r="IT18" s="214"/>
      <c r="IU18" s="214"/>
      <c r="IV18" s="214"/>
      <c r="IW18" s="214"/>
      <c r="IX18" s="214"/>
      <c r="IY18" s="214"/>
      <c r="IZ18" s="214"/>
      <c r="JA18" s="214"/>
      <c r="JB18" s="214"/>
      <c r="JC18" s="214"/>
      <c r="JD18" s="214"/>
      <c r="JE18" s="214"/>
      <c r="JF18" s="214"/>
      <c r="JG18" s="214"/>
      <c r="JH18" s="214"/>
      <c r="JI18" s="214"/>
    </row>
    <row r="19" spans="1:269" ht="15.75">
      <c r="A19" s="149" t="s">
        <v>99</v>
      </c>
      <c r="B19" s="152">
        <f>Invånare!B13</f>
        <v>306</v>
      </c>
      <c r="C19" s="152">
        <f t="shared" si="2"/>
        <v>326835.53999999998</v>
      </c>
      <c r="D19" s="220">
        <f t="shared" si="0"/>
        <v>1.0079383378899173E-2</v>
      </c>
      <c r="E19" s="113">
        <f t="shared" si="1"/>
        <v>43142.291279999998</v>
      </c>
      <c r="F19" s="214"/>
      <c r="H19" s="149" t="s">
        <v>99</v>
      </c>
      <c r="I19" s="152">
        <v>313</v>
      </c>
      <c r="J19" s="152"/>
      <c r="K19" s="113">
        <v>42213.796679999999</v>
      </c>
      <c r="M19" s="214"/>
      <c r="N19" s="291"/>
      <c r="O19" s="291"/>
      <c r="P19" s="291"/>
      <c r="Q19" s="291"/>
      <c r="R19" s="291"/>
      <c r="S19" s="291"/>
      <c r="T19" s="291"/>
      <c r="U19" s="291"/>
      <c r="V19" s="291"/>
      <c r="W19" s="291"/>
      <c r="X19" s="291"/>
      <c r="Y19" s="291"/>
      <c r="Z19" s="291"/>
      <c r="AA19" s="291"/>
      <c r="AB19" s="291"/>
      <c r="AC19" s="291"/>
      <c r="AD19" s="291"/>
      <c r="AE19" s="214"/>
      <c r="AF19" s="214"/>
      <c r="AG19" s="214"/>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c r="CG19" s="214"/>
      <c r="CH19" s="214"/>
      <c r="CI19" s="214"/>
      <c r="CJ19" s="214"/>
      <c r="CK19" s="214"/>
      <c r="CL19" s="214"/>
      <c r="CM19" s="214"/>
      <c r="CN19" s="214"/>
      <c r="CO19" s="214"/>
      <c r="CP19" s="214"/>
      <c r="CQ19" s="214"/>
      <c r="CR19" s="214"/>
      <c r="CS19" s="214"/>
      <c r="CT19" s="214"/>
      <c r="CU19" s="214"/>
      <c r="CV19" s="214"/>
      <c r="CW19" s="214"/>
      <c r="CX19" s="214"/>
      <c r="CY19" s="214"/>
      <c r="CZ19" s="214"/>
      <c r="DA19" s="214"/>
      <c r="DB19" s="214"/>
      <c r="DC19" s="214"/>
      <c r="DD19" s="214"/>
      <c r="DE19" s="214"/>
      <c r="DF19" s="214"/>
      <c r="DG19" s="214"/>
      <c r="DH19" s="214"/>
      <c r="DI19" s="214"/>
      <c r="DJ19" s="214"/>
      <c r="DK19" s="214"/>
      <c r="DL19" s="214"/>
      <c r="DM19" s="214"/>
      <c r="DN19" s="214"/>
      <c r="DO19" s="214"/>
      <c r="DP19" s="214"/>
      <c r="DQ19" s="214"/>
      <c r="DR19" s="214"/>
      <c r="DS19" s="214"/>
      <c r="DT19" s="214"/>
      <c r="DU19" s="214"/>
      <c r="DV19" s="214"/>
      <c r="DW19" s="214"/>
      <c r="DX19" s="214"/>
      <c r="DY19" s="214"/>
      <c r="DZ19" s="214"/>
      <c r="EA19" s="214"/>
      <c r="EB19" s="214"/>
      <c r="EC19" s="214"/>
      <c r="ED19" s="214"/>
      <c r="EE19" s="214"/>
      <c r="EF19" s="214"/>
      <c r="EG19" s="214"/>
      <c r="EH19" s="214"/>
      <c r="EI19" s="214"/>
      <c r="EJ19" s="214"/>
      <c r="EK19" s="214"/>
      <c r="EL19" s="214"/>
      <c r="EM19" s="214"/>
      <c r="EN19" s="214"/>
      <c r="EO19" s="214"/>
      <c r="EP19" s="214"/>
      <c r="EQ19" s="214"/>
      <c r="ER19" s="214"/>
      <c r="ES19" s="214"/>
      <c r="ET19" s="214"/>
      <c r="EU19" s="214"/>
      <c r="EV19" s="214"/>
      <c r="EW19" s="214"/>
      <c r="EX19" s="214"/>
      <c r="EY19" s="214"/>
      <c r="EZ19" s="214"/>
      <c r="FA19" s="214"/>
      <c r="FB19" s="214"/>
      <c r="FC19" s="214"/>
      <c r="FD19" s="214"/>
      <c r="FE19" s="214"/>
      <c r="FF19" s="214"/>
      <c r="FG19" s="214"/>
      <c r="FH19" s="214"/>
      <c r="FI19" s="214"/>
      <c r="FJ19" s="214"/>
      <c r="FK19" s="214"/>
      <c r="FL19" s="214"/>
      <c r="FM19" s="214"/>
      <c r="FN19" s="214"/>
      <c r="FO19" s="214"/>
      <c r="FP19" s="214"/>
      <c r="FQ19" s="214"/>
      <c r="FR19" s="214"/>
      <c r="FS19" s="214"/>
      <c r="FT19" s="214"/>
      <c r="FU19" s="214"/>
      <c r="FV19" s="214"/>
      <c r="FW19" s="214"/>
      <c r="FX19" s="214"/>
      <c r="FY19" s="214"/>
      <c r="FZ19" s="214"/>
      <c r="GA19" s="214"/>
      <c r="GB19" s="214"/>
      <c r="GC19" s="214"/>
      <c r="GD19" s="214"/>
      <c r="GE19" s="214"/>
      <c r="GF19" s="214"/>
      <c r="GG19" s="214"/>
      <c r="GH19" s="214"/>
      <c r="GI19" s="214"/>
      <c r="GJ19" s="214"/>
      <c r="GK19" s="214"/>
      <c r="GL19" s="214"/>
      <c r="GM19" s="214"/>
      <c r="GN19" s="214"/>
      <c r="GO19" s="214"/>
      <c r="GP19" s="214"/>
      <c r="GQ19" s="214"/>
      <c r="GR19" s="214"/>
      <c r="GS19" s="214"/>
      <c r="GT19" s="214"/>
      <c r="GU19" s="214"/>
      <c r="GV19" s="214"/>
      <c r="GW19" s="214"/>
      <c r="GX19" s="214"/>
      <c r="GY19" s="214"/>
      <c r="GZ19" s="214"/>
      <c r="HA19" s="214"/>
      <c r="HB19" s="214"/>
      <c r="HC19" s="214"/>
      <c r="HD19" s="214"/>
      <c r="HE19" s="214"/>
      <c r="HF19" s="214"/>
      <c r="HG19" s="214"/>
      <c r="HH19" s="214"/>
      <c r="HI19" s="214"/>
      <c r="HJ19" s="214"/>
      <c r="HK19" s="214"/>
      <c r="HL19" s="214"/>
      <c r="HM19" s="214"/>
      <c r="HN19" s="214"/>
      <c r="HO19" s="214"/>
      <c r="HP19" s="214"/>
      <c r="HQ19" s="214"/>
      <c r="HR19" s="214"/>
      <c r="HS19" s="214"/>
      <c r="HT19" s="214"/>
      <c r="HU19" s="214"/>
      <c r="HV19" s="214"/>
      <c r="HW19" s="214"/>
      <c r="HX19" s="214"/>
      <c r="HY19" s="214"/>
      <c r="HZ19" s="214"/>
      <c r="IA19" s="214"/>
      <c r="IB19" s="214"/>
      <c r="IC19" s="214"/>
      <c r="ID19" s="214"/>
      <c r="IE19" s="214"/>
      <c r="IF19" s="214"/>
      <c r="IG19" s="214"/>
      <c r="IH19" s="214"/>
      <c r="II19" s="214"/>
      <c r="IJ19" s="214"/>
      <c r="IK19" s="214"/>
      <c r="IL19" s="214"/>
      <c r="IM19" s="214"/>
      <c r="IN19" s="214"/>
      <c r="IO19" s="214"/>
      <c r="IP19" s="214"/>
      <c r="IQ19" s="214"/>
      <c r="IR19" s="214"/>
      <c r="IS19" s="214"/>
      <c r="IT19" s="214"/>
      <c r="IU19" s="214"/>
      <c r="IV19" s="214"/>
      <c r="IW19" s="214"/>
      <c r="IX19" s="214"/>
      <c r="IY19" s="214"/>
      <c r="IZ19" s="214"/>
      <c r="JA19" s="214"/>
      <c r="JB19" s="214"/>
      <c r="JC19" s="214"/>
      <c r="JD19" s="214"/>
      <c r="JE19" s="214"/>
      <c r="JF19" s="214"/>
      <c r="JG19" s="214"/>
      <c r="JH19" s="214"/>
      <c r="JI19" s="214"/>
    </row>
    <row r="20" spans="1:269" ht="15.75">
      <c r="A20" s="149" t="s">
        <v>100</v>
      </c>
      <c r="B20" s="152">
        <f>Invånare!B14</f>
        <v>223</v>
      </c>
      <c r="C20" s="152">
        <f t="shared" si="2"/>
        <v>238184.06999999998</v>
      </c>
      <c r="D20" s="220">
        <f t="shared" si="0"/>
        <v>7.3454329852761947E-3</v>
      </c>
      <c r="E20" s="113">
        <f t="shared" si="1"/>
        <v>31440.297239999996</v>
      </c>
      <c r="F20" s="214"/>
      <c r="H20" s="149" t="s">
        <v>100</v>
      </c>
      <c r="I20" s="152">
        <v>224</v>
      </c>
      <c r="J20" s="152"/>
      <c r="K20" s="113">
        <v>30210.512640000001</v>
      </c>
      <c r="M20" s="214"/>
      <c r="N20" s="291"/>
      <c r="O20" s="291"/>
      <c r="P20" s="291"/>
      <c r="Q20" s="291"/>
      <c r="R20" s="291"/>
      <c r="S20" s="291"/>
      <c r="T20" s="291"/>
      <c r="U20" s="291"/>
      <c r="V20" s="291"/>
      <c r="W20" s="291"/>
      <c r="X20" s="291"/>
      <c r="Y20" s="291"/>
      <c r="Z20" s="291"/>
      <c r="AA20" s="291"/>
      <c r="AB20" s="291"/>
      <c r="AC20" s="291"/>
      <c r="AD20" s="291"/>
      <c r="AE20" s="214"/>
      <c r="AF20" s="214"/>
      <c r="AG20" s="214"/>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c r="CG20" s="214"/>
      <c r="CH20" s="214"/>
      <c r="CI20" s="214"/>
      <c r="CJ20" s="214"/>
      <c r="CK20" s="214"/>
      <c r="CL20" s="214"/>
      <c r="CM20" s="214"/>
      <c r="CN20" s="214"/>
      <c r="CO20" s="214"/>
      <c r="CP20" s="214"/>
      <c r="CQ20" s="214"/>
      <c r="CR20" s="214"/>
      <c r="CS20" s="214"/>
      <c r="CT20" s="214"/>
      <c r="CU20" s="214"/>
      <c r="CV20" s="214"/>
      <c r="CW20" s="214"/>
      <c r="CX20" s="214"/>
      <c r="CY20" s="214"/>
      <c r="CZ20" s="214"/>
      <c r="DA20" s="214"/>
      <c r="DB20" s="214"/>
      <c r="DC20" s="214"/>
      <c r="DD20" s="214"/>
      <c r="DE20" s="214"/>
      <c r="DF20" s="214"/>
      <c r="DG20" s="214"/>
      <c r="DH20" s="214"/>
      <c r="DI20" s="214"/>
      <c r="DJ20" s="214"/>
      <c r="DK20" s="214"/>
      <c r="DL20" s="214"/>
      <c r="DM20" s="214"/>
      <c r="DN20" s="214"/>
      <c r="DO20" s="214"/>
      <c r="DP20" s="214"/>
      <c r="DQ20" s="214"/>
      <c r="DR20" s="214"/>
      <c r="DS20" s="214"/>
      <c r="DT20" s="214"/>
      <c r="DU20" s="214"/>
      <c r="DV20" s="214"/>
      <c r="DW20" s="214"/>
      <c r="DX20" s="214"/>
      <c r="DY20" s="214"/>
      <c r="DZ20" s="214"/>
      <c r="EA20" s="214"/>
      <c r="EB20" s="214"/>
      <c r="EC20" s="214"/>
      <c r="ED20" s="214"/>
      <c r="EE20" s="214"/>
      <c r="EF20" s="214"/>
      <c r="EG20" s="214"/>
      <c r="EH20" s="214"/>
      <c r="EI20" s="214"/>
      <c r="EJ20" s="214"/>
      <c r="EK20" s="214"/>
      <c r="EL20" s="214"/>
      <c r="EM20" s="214"/>
      <c r="EN20" s="214"/>
      <c r="EO20" s="214"/>
      <c r="EP20" s="214"/>
      <c r="EQ20" s="214"/>
      <c r="ER20" s="214"/>
      <c r="ES20" s="214"/>
      <c r="ET20" s="214"/>
      <c r="EU20" s="214"/>
      <c r="EV20" s="214"/>
      <c r="EW20" s="214"/>
      <c r="EX20" s="214"/>
      <c r="EY20" s="214"/>
      <c r="EZ20" s="214"/>
      <c r="FA20" s="214"/>
      <c r="FB20" s="214"/>
      <c r="FC20" s="214"/>
      <c r="FD20" s="214"/>
      <c r="FE20" s="214"/>
      <c r="FF20" s="214"/>
      <c r="FG20" s="214"/>
      <c r="FH20" s="214"/>
      <c r="FI20" s="214"/>
      <c r="FJ20" s="214"/>
      <c r="FK20" s="214"/>
      <c r="FL20" s="214"/>
      <c r="FM20" s="214"/>
      <c r="FN20" s="214"/>
      <c r="FO20" s="214"/>
      <c r="FP20" s="214"/>
      <c r="FQ20" s="214"/>
      <c r="FR20" s="214"/>
      <c r="FS20" s="214"/>
      <c r="FT20" s="214"/>
      <c r="FU20" s="214"/>
      <c r="FV20" s="214"/>
      <c r="FW20" s="214"/>
      <c r="FX20" s="214"/>
      <c r="FY20" s="214"/>
      <c r="FZ20" s="214"/>
      <c r="GA20" s="214"/>
      <c r="GB20" s="214"/>
      <c r="GC20" s="214"/>
      <c r="GD20" s="214"/>
      <c r="GE20" s="214"/>
      <c r="GF20" s="214"/>
      <c r="GG20" s="214"/>
      <c r="GH20" s="214"/>
      <c r="GI20" s="214"/>
      <c r="GJ20" s="214"/>
      <c r="GK20" s="214"/>
      <c r="GL20" s="214"/>
      <c r="GM20" s="214"/>
      <c r="GN20" s="214"/>
      <c r="GO20" s="214"/>
      <c r="GP20" s="214"/>
      <c r="GQ20" s="214"/>
      <c r="GR20" s="214"/>
      <c r="GS20" s="214"/>
      <c r="GT20" s="214"/>
      <c r="GU20" s="214"/>
      <c r="GV20" s="214"/>
      <c r="GW20" s="214"/>
      <c r="GX20" s="214"/>
      <c r="GY20" s="214"/>
      <c r="GZ20" s="214"/>
      <c r="HA20" s="214"/>
      <c r="HB20" s="214"/>
      <c r="HC20" s="214"/>
      <c r="HD20" s="214"/>
      <c r="HE20" s="214"/>
      <c r="HF20" s="214"/>
      <c r="HG20" s="214"/>
      <c r="HH20" s="214"/>
      <c r="HI20" s="214"/>
      <c r="HJ20" s="214"/>
      <c r="HK20" s="214"/>
      <c r="HL20" s="214"/>
      <c r="HM20" s="214"/>
      <c r="HN20" s="214"/>
      <c r="HO20" s="214"/>
      <c r="HP20" s="214"/>
      <c r="HQ20" s="214"/>
      <c r="HR20" s="214"/>
      <c r="HS20" s="214"/>
      <c r="HT20" s="214"/>
      <c r="HU20" s="214"/>
      <c r="HV20" s="214"/>
      <c r="HW20" s="214"/>
      <c r="HX20" s="214"/>
      <c r="HY20" s="214"/>
      <c r="HZ20" s="214"/>
      <c r="IA20" s="214"/>
      <c r="IB20" s="214"/>
      <c r="IC20" s="214"/>
      <c r="ID20" s="214"/>
      <c r="IE20" s="214"/>
      <c r="IF20" s="214"/>
      <c r="IG20" s="214"/>
      <c r="IH20" s="214"/>
      <c r="II20" s="214"/>
      <c r="IJ20" s="214"/>
      <c r="IK20" s="214"/>
      <c r="IL20" s="214"/>
      <c r="IM20" s="214"/>
      <c r="IN20" s="214"/>
      <c r="IO20" s="214"/>
      <c r="IP20" s="214"/>
      <c r="IQ20" s="214"/>
      <c r="IR20" s="214"/>
      <c r="IS20" s="214"/>
      <c r="IT20" s="214"/>
      <c r="IU20" s="214"/>
      <c r="IV20" s="214"/>
      <c r="IW20" s="214"/>
      <c r="IX20" s="214"/>
      <c r="IY20" s="214"/>
      <c r="IZ20" s="214"/>
      <c r="JA20" s="214"/>
      <c r="JB20" s="214"/>
      <c r="JC20" s="214"/>
      <c r="JD20" s="214"/>
      <c r="JE20" s="214"/>
      <c r="JF20" s="214"/>
      <c r="JG20" s="214"/>
      <c r="JH20" s="214"/>
      <c r="JI20" s="214"/>
    </row>
    <row r="21" spans="1:269">
      <c r="A21" s="149" t="s">
        <v>101</v>
      </c>
      <c r="B21" s="152">
        <f>Invånare!B15</f>
        <v>2131</v>
      </c>
      <c r="C21" s="152">
        <f t="shared" si="2"/>
        <v>2276099.79</v>
      </c>
      <c r="D21" s="220">
        <f t="shared" si="0"/>
        <v>7.0193352877235743E-2</v>
      </c>
      <c r="E21" s="113">
        <f t="shared" si="1"/>
        <v>300445.17228</v>
      </c>
      <c r="F21" s="214"/>
      <c r="H21" s="149" t="s">
        <v>101</v>
      </c>
      <c r="I21" s="152">
        <v>2135</v>
      </c>
      <c r="J21" s="152"/>
      <c r="K21" s="113">
        <v>287943.9486</v>
      </c>
      <c r="M21" s="214"/>
      <c r="N21" s="214"/>
      <c r="O21" s="214"/>
      <c r="P21" s="214"/>
      <c r="Q21" s="214"/>
      <c r="R21" s="214"/>
      <c r="S21" s="214"/>
      <c r="T21" s="214"/>
      <c r="U21" s="214"/>
      <c r="V21" s="214"/>
      <c r="W21" s="214"/>
      <c r="X21" s="214"/>
      <c r="Y21" s="214"/>
      <c r="Z21" s="214"/>
      <c r="AA21" s="214"/>
      <c r="AB21" s="214"/>
      <c r="AC21" s="214"/>
      <c r="AD21" s="214"/>
      <c r="AE21" s="214"/>
      <c r="AF21" s="214"/>
      <c r="AG21" s="214"/>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c r="CG21" s="214"/>
      <c r="CH21" s="214"/>
      <c r="CI21" s="214"/>
      <c r="CJ21" s="214"/>
      <c r="CK21" s="214"/>
      <c r="CL21" s="214"/>
      <c r="CM21" s="214"/>
      <c r="CN21" s="214"/>
      <c r="CO21" s="214"/>
      <c r="CP21" s="214"/>
      <c r="CQ21" s="214"/>
      <c r="CR21" s="214"/>
      <c r="CS21" s="214"/>
      <c r="CT21" s="214"/>
      <c r="CU21" s="214"/>
      <c r="CV21" s="214"/>
      <c r="CW21" s="214"/>
      <c r="CX21" s="214"/>
      <c r="CY21" s="214"/>
      <c r="CZ21" s="214"/>
      <c r="DA21" s="214"/>
      <c r="DB21" s="214"/>
      <c r="DC21" s="214"/>
      <c r="DD21" s="214"/>
      <c r="DE21" s="214"/>
      <c r="DF21" s="214"/>
      <c r="DG21" s="214"/>
      <c r="DH21" s="214"/>
      <c r="DI21" s="214"/>
      <c r="DJ21" s="214"/>
      <c r="DK21" s="214"/>
      <c r="DL21" s="214"/>
      <c r="DM21" s="214"/>
      <c r="DN21" s="214"/>
      <c r="DO21" s="214"/>
      <c r="DP21" s="214"/>
      <c r="DQ21" s="214"/>
      <c r="DR21" s="214"/>
      <c r="DS21" s="214"/>
      <c r="DT21" s="214"/>
      <c r="DU21" s="214"/>
      <c r="DV21" s="214"/>
      <c r="DW21" s="214"/>
      <c r="DX21" s="214"/>
      <c r="DY21" s="214"/>
      <c r="DZ21" s="214"/>
      <c r="EA21" s="214"/>
      <c r="EB21" s="214"/>
      <c r="EC21" s="214"/>
      <c r="ED21" s="214"/>
      <c r="EE21" s="214"/>
      <c r="EF21" s="214"/>
      <c r="EG21" s="214"/>
      <c r="EH21" s="214"/>
      <c r="EI21" s="214"/>
      <c r="EJ21" s="214"/>
      <c r="EK21" s="214"/>
      <c r="EL21" s="214"/>
      <c r="EM21" s="214"/>
      <c r="EN21" s="214"/>
      <c r="EO21" s="214"/>
      <c r="EP21" s="214"/>
      <c r="EQ21" s="214"/>
      <c r="ER21" s="214"/>
      <c r="ES21" s="214"/>
      <c r="ET21" s="214"/>
      <c r="EU21" s="214"/>
      <c r="EV21" s="214"/>
      <c r="EW21" s="214"/>
      <c r="EX21" s="214"/>
      <c r="EY21" s="214"/>
      <c r="EZ21" s="214"/>
      <c r="FA21" s="214"/>
      <c r="FB21" s="214"/>
      <c r="FC21" s="214"/>
      <c r="FD21" s="214"/>
      <c r="FE21" s="214"/>
      <c r="FF21" s="214"/>
      <c r="FG21" s="214"/>
      <c r="FH21" s="214"/>
      <c r="FI21" s="214"/>
      <c r="FJ21" s="214"/>
      <c r="FK21" s="214"/>
      <c r="FL21" s="214"/>
      <c r="FM21" s="214"/>
      <c r="FN21" s="214"/>
      <c r="FO21" s="214"/>
      <c r="FP21" s="214"/>
      <c r="FQ21" s="214"/>
      <c r="FR21" s="214"/>
      <c r="FS21" s="214"/>
      <c r="FT21" s="214"/>
      <c r="FU21" s="214"/>
      <c r="FV21" s="214"/>
      <c r="FW21" s="214"/>
      <c r="FX21" s="214"/>
      <c r="FY21" s="214"/>
      <c r="FZ21" s="214"/>
      <c r="GA21" s="214"/>
      <c r="GB21" s="214"/>
      <c r="GC21" s="214"/>
      <c r="GD21" s="214"/>
      <c r="GE21" s="214"/>
      <c r="GF21" s="214"/>
      <c r="GG21" s="214"/>
      <c r="GH21" s="214"/>
      <c r="GI21" s="214"/>
      <c r="GJ21" s="214"/>
      <c r="GK21" s="214"/>
      <c r="GL21" s="214"/>
      <c r="GM21" s="214"/>
      <c r="GN21" s="214"/>
      <c r="GO21" s="214"/>
      <c r="GP21" s="214"/>
      <c r="GQ21" s="214"/>
      <c r="GR21" s="214"/>
      <c r="GS21" s="214"/>
      <c r="GT21" s="214"/>
      <c r="GU21" s="214"/>
      <c r="GV21" s="214"/>
      <c r="GW21" s="214"/>
      <c r="GX21" s="214"/>
      <c r="GY21" s="214"/>
      <c r="GZ21" s="214"/>
      <c r="HA21" s="214"/>
      <c r="HB21" s="214"/>
      <c r="HC21" s="214"/>
      <c r="HD21" s="214"/>
      <c r="HE21" s="214"/>
      <c r="HF21" s="214"/>
      <c r="HG21" s="214"/>
      <c r="HH21" s="214"/>
      <c r="HI21" s="214"/>
      <c r="HJ21" s="214"/>
      <c r="HK21" s="214"/>
      <c r="HL21" s="214"/>
      <c r="HM21" s="214"/>
      <c r="HN21" s="214"/>
      <c r="HO21" s="214"/>
      <c r="HP21" s="214"/>
      <c r="HQ21" s="214"/>
      <c r="HR21" s="214"/>
      <c r="HS21" s="214"/>
      <c r="HT21" s="214"/>
      <c r="HU21" s="214"/>
      <c r="HV21" s="214"/>
      <c r="HW21" s="214"/>
      <c r="HX21" s="214"/>
      <c r="HY21" s="214"/>
      <c r="HZ21" s="214"/>
      <c r="IA21" s="214"/>
      <c r="IB21" s="214"/>
      <c r="IC21" s="214"/>
      <c r="ID21" s="214"/>
      <c r="IE21" s="214"/>
      <c r="IF21" s="214"/>
      <c r="IG21" s="214"/>
      <c r="IH21" s="214"/>
      <c r="II21" s="214"/>
      <c r="IJ21" s="214"/>
      <c r="IK21" s="214"/>
      <c r="IL21" s="214"/>
      <c r="IM21" s="214"/>
      <c r="IN21" s="214"/>
      <c r="IO21" s="214"/>
      <c r="IP21" s="214"/>
      <c r="IQ21" s="214"/>
      <c r="IR21" s="214"/>
      <c r="IS21" s="214"/>
      <c r="IT21" s="214"/>
      <c r="IU21" s="214"/>
      <c r="IV21" s="214"/>
      <c r="IW21" s="214"/>
      <c r="IX21" s="214"/>
      <c r="IY21" s="214"/>
      <c r="IZ21" s="214"/>
      <c r="JA21" s="214"/>
      <c r="JB21" s="214"/>
      <c r="JC21" s="214"/>
      <c r="JD21" s="214"/>
      <c r="JE21" s="214"/>
      <c r="JF21" s="214"/>
      <c r="JG21" s="214"/>
      <c r="JH21" s="214"/>
      <c r="JI21" s="214"/>
    </row>
    <row r="22" spans="1:269">
      <c r="A22" s="149" t="s">
        <v>102</v>
      </c>
      <c r="B22" s="152">
        <f>Invånare!B16</f>
        <v>360</v>
      </c>
      <c r="C22" s="152">
        <f t="shared" si="2"/>
        <v>384512.39999999997</v>
      </c>
      <c r="D22" s="220">
        <f t="shared" si="0"/>
        <v>1.1858098092822556E-2</v>
      </c>
      <c r="E22" s="113">
        <f t="shared" si="1"/>
        <v>50755.636799999993</v>
      </c>
      <c r="F22" s="214"/>
      <c r="H22" s="149" t="s">
        <v>102</v>
      </c>
      <c r="I22" s="152">
        <v>376</v>
      </c>
      <c r="J22" s="152"/>
      <c r="K22" s="113">
        <v>50710.503359999995</v>
      </c>
      <c r="M22" s="214"/>
      <c r="N22" s="214"/>
      <c r="O22" s="214"/>
      <c r="P22" s="214"/>
      <c r="Q22" s="214"/>
      <c r="R22" s="214"/>
      <c r="S22" s="214"/>
      <c r="T22" s="214"/>
      <c r="U22" s="214"/>
      <c r="V22" s="214"/>
      <c r="W22" s="214"/>
      <c r="X22" s="214"/>
      <c r="Y22" s="214"/>
      <c r="Z22" s="214"/>
      <c r="AA22" s="214"/>
      <c r="AB22" s="214"/>
      <c r="AC22" s="214"/>
      <c r="AD22" s="214"/>
      <c r="AE22" s="214"/>
      <c r="AF22" s="214"/>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c r="CG22" s="214"/>
      <c r="CH22" s="214"/>
      <c r="CI22" s="214"/>
      <c r="CJ22" s="214"/>
      <c r="CK22" s="214"/>
      <c r="CL22" s="214"/>
      <c r="CM22" s="214"/>
      <c r="CN22" s="214"/>
      <c r="CO22" s="214"/>
      <c r="CP22" s="214"/>
      <c r="CQ22" s="214"/>
      <c r="CR22" s="214"/>
      <c r="CS22" s="214"/>
      <c r="CT22" s="214"/>
      <c r="CU22" s="214"/>
      <c r="CV22" s="214"/>
      <c r="CW22" s="214"/>
      <c r="CX22" s="214"/>
      <c r="CY22" s="214"/>
      <c r="CZ22" s="214"/>
      <c r="DA22" s="214"/>
      <c r="DB22" s="214"/>
      <c r="DC22" s="214"/>
      <c r="DD22" s="214"/>
      <c r="DE22" s="214"/>
      <c r="DF22" s="214"/>
      <c r="DG22" s="214"/>
      <c r="DH22" s="214"/>
      <c r="DI22" s="214"/>
      <c r="DJ22" s="214"/>
      <c r="DK22" s="214"/>
      <c r="DL22" s="214"/>
      <c r="DM22" s="214"/>
      <c r="DN22" s="214"/>
      <c r="DO22" s="214"/>
      <c r="DP22" s="214"/>
      <c r="DQ22" s="214"/>
      <c r="DR22" s="214"/>
      <c r="DS22" s="214"/>
      <c r="DT22" s="214"/>
      <c r="DU22" s="214"/>
      <c r="DV22" s="214"/>
      <c r="DW22" s="214"/>
      <c r="DX22" s="214"/>
      <c r="DY22" s="214"/>
      <c r="DZ22" s="214"/>
      <c r="EA22" s="214"/>
      <c r="EB22" s="214"/>
      <c r="EC22" s="214"/>
      <c r="ED22" s="214"/>
      <c r="EE22" s="214"/>
      <c r="EF22" s="214"/>
      <c r="EG22" s="214"/>
      <c r="EH22" s="214"/>
      <c r="EI22" s="214"/>
      <c r="EJ22" s="214"/>
      <c r="EK22" s="214"/>
      <c r="EL22" s="214"/>
      <c r="EM22" s="214"/>
      <c r="EN22" s="214"/>
      <c r="EO22" s="214"/>
      <c r="EP22" s="214"/>
      <c r="EQ22" s="214"/>
      <c r="ER22" s="214"/>
      <c r="ES22" s="214"/>
      <c r="ET22" s="214"/>
      <c r="EU22" s="214"/>
      <c r="EV22" s="214"/>
      <c r="EW22" s="214"/>
      <c r="EX22" s="214"/>
      <c r="EY22" s="214"/>
      <c r="EZ22" s="214"/>
      <c r="FA22" s="214"/>
      <c r="FB22" s="214"/>
      <c r="FC22" s="214"/>
      <c r="FD22" s="214"/>
      <c r="FE22" s="214"/>
      <c r="FF22" s="214"/>
      <c r="FG22" s="214"/>
      <c r="FH22" s="214"/>
      <c r="FI22" s="214"/>
      <c r="FJ22" s="214"/>
      <c r="FK22" s="214"/>
      <c r="FL22" s="214"/>
      <c r="FM22" s="214"/>
      <c r="FN22" s="214"/>
      <c r="FO22" s="214"/>
      <c r="FP22" s="214"/>
      <c r="FQ22" s="214"/>
      <c r="FR22" s="214"/>
      <c r="FS22" s="214"/>
      <c r="FT22" s="214"/>
      <c r="FU22" s="214"/>
      <c r="FV22" s="214"/>
      <c r="FW22" s="214"/>
      <c r="FX22" s="214"/>
      <c r="FY22" s="214"/>
      <c r="FZ22" s="214"/>
      <c r="GA22" s="214"/>
      <c r="GB22" s="214"/>
      <c r="GC22" s="214"/>
      <c r="GD22" s="214"/>
      <c r="GE22" s="214"/>
      <c r="GF22" s="214"/>
      <c r="GG22" s="214"/>
      <c r="GH22" s="214"/>
      <c r="GI22" s="214"/>
      <c r="GJ22" s="214"/>
      <c r="GK22" s="214"/>
      <c r="GL22" s="214"/>
      <c r="GM22" s="214"/>
      <c r="GN22" s="214"/>
      <c r="GO22" s="214"/>
      <c r="GP22" s="214"/>
      <c r="GQ22" s="214"/>
      <c r="GR22" s="214"/>
      <c r="GS22" s="214"/>
      <c r="GT22" s="214"/>
      <c r="GU22" s="214"/>
      <c r="GV22" s="214"/>
      <c r="GW22" s="214"/>
      <c r="GX22" s="214"/>
      <c r="GY22" s="214"/>
      <c r="GZ22" s="214"/>
      <c r="HA22" s="214"/>
      <c r="HB22" s="214"/>
      <c r="HC22" s="214"/>
      <c r="HD22" s="214"/>
      <c r="HE22" s="214"/>
      <c r="HF22" s="214"/>
      <c r="HG22" s="214"/>
      <c r="HH22" s="214"/>
      <c r="HI22" s="214"/>
      <c r="HJ22" s="214"/>
      <c r="HK22" s="214"/>
      <c r="HL22" s="214"/>
      <c r="HM22" s="214"/>
      <c r="HN22" s="214"/>
      <c r="HO22" s="214"/>
      <c r="HP22" s="214"/>
      <c r="HQ22" s="214"/>
      <c r="HR22" s="214"/>
      <c r="HS22" s="214"/>
      <c r="HT22" s="214"/>
      <c r="HU22" s="214"/>
      <c r="HV22" s="214"/>
      <c r="HW22" s="214"/>
      <c r="HX22" s="214"/>
      <c r="HY22" s="214"/>
      <c r="HZ22" s="214"/>
      <c r="IA22" s="214"/>
      <c r="IB22" s="214"/>
      <c r="IC22" s="214"/>
      <c r="ID22" s="214"/>
      <c r="IE22" s="214"/>
      <c r="IF22" s="214"/>
      <c r="IG22" s="214"/>
      <c r="IH22" s="214"/>
      <c r="II22" s="214"/>
      <c r="IJ22" s="214"/>
      <c r="IK22" s="214"/>
      <c r="IL22" s="214"/>
      <c r="IM22" s="214"/>
      <c r="IN22" s="214"/>
      <c r="IO22" s="214"/>
      <c r="IP22" s="214"/>
      <c r="IQ22" s="214"/>
      <c r="IR22" s="214"/>
      <c r="IS22" s="214"/>
      <c r="IT22" s="214"/>
      <c r="IU22" s="214"/>
      <c r="IV22" s="214"/>
      <c r="IW22" s="214"/>
      <c r="IX22" s="214"/>
      <c r="IY22" s="214"/>
      <c r="IZ22" s="214"/>
      <c r="JA22" s="214"/>
      <c r="JB22" s="214"/>
      <c r="JC22" s="214"/>
      <c r="JD22" s="214"/>
      <c r="JE22" s="214"/>
      <c r="JF22" s="214"/>
      <c r="JG22" s="214"/>
      <c r="JH22" s="214"/>
      <c r="JI22" s="214"/>
    </row>
    <row r="23" spans="1:269">
      <c r="A23" s="149" t="s">
        <v>103</v>
      </c>
      <c r="B23" s="152">
        <f>Invånare!B17</f>
        <v>1793</v>
      </c>
      <c r="C23" s="152">
        <f t="shared" si="2"/>
        <v>1915085.3699999999</v>
      </c>
      <c r="D23" s="220">
        <f t="shared" si="0"/>
        <v>5.9059916334530123E-2</v>
      </c>
      <c r="E23" s="113">
        <f t="shared" si="1"/>
        <v>252791.26883999998</v>
      </c>
      <c r="F23" s="214"/>
      <c r="H23" s="149" t="s">
        <v>103</v>
      </c>
      <c r="I23" s="152">
        <v>1810</v>
      </c>
      <c r="J23" s="152"/>
      <c r="K23" s="113">
        <v>244111.7316</v>
      </c>
      <c r="M23" s="214"/>
      <c r="N23" s="214"/>
      <c r="O23" s="214"/>
      <c r="P23" s="214"/>
      <c r="Q23" s="214"/>
      <c r="R23" s="214"/>
      <c r="S23" s="214"/>
      <c r="T23" s="214"/>
      <c r="U23" s="214"/>
      <c r="V23" s="214"/>
      <c r="W23" s="214"/>
      <c r="X23" s="214"/>
      <c r="Y23" s="214"/>
      <c r="Z23" s="214"/>
      <c r="AA23" s="214"/>
      <c r="AB23" s="214"/>
      <c r="AC23" s="214"/>
      <c r="AD23" s="214"/>
      <c r="AE23" s="214"/>
      <c r="AF23" s="214"/>
      <c r="AG23" s="214"/>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c r="CE23" s="214"/>
      <c r="CF23" s="214"/>
      <c r="CG23" s="214"/>
      <c r="CH23" s="214"/>
      <c r="CI23" s="214"/>
      <c r="CJ23" s="214"/>
      <c r="CK23" s="214"/>
      <c r="CL23" s="214"/>
      <c r="CM23" s="214"/>
      <c r="CN23" s="214"/>
      <c r="CO23" s="214"/>
      <c r="CP23" s="214"/>
      <c r="CQ23" s="214"/>
      <c r="CR23" s="214"/>
      <c r="CS23" s="214"/>
      <c r="CT23" s="214"/>
      <c r="CU23" s="214"/>
      <c r="CV23" s="214"/>
      <c r="CW23" s="214"/>
      <c r="CX23" s="214"/>
      <c r="CY23" s="214"/>
      <c r="CZ23" s="214"/>
      <c r="DA23" s="214"/>
      <c r="DB23" s="214"/>
      <c r="DC23" s="214"/>
      <c r="DD23" s="214"/>
      <c r="DE23" s="214"/>
      <c r="DF23" s="214"/>
      <c r="DG23" s="214"/>
      <c r="DH23" s="214"/>
      <c r="DI23" s="214"/>
      <c r="DJ23" s="214"/>
      <c r="DK23" s="214"/>
      <c r="DL23" s="214"/>
      <c r="DM23" s="214"/>
      <c r="DN23" s="214"/>
      <c r="DO23" s="214"/>
      <c r="DP23" s="214"/>
      <c r="DQ23" s="214"/>
      <c r="DR23" s="214"/>
      <c r="DS23" s="214"/>
      <c r="DT23" s="214"/>
      <c r="DU23" s="214"/>
      <c r="DV23" s="214"/>
      <c r="DW23" s="214"/>
      <c r="DX23" s="214"/>
      <c r="DY23" s="214"/>
      <c r="DZ23" s="214"/>
      <c r="EA23" s="214"/>
      <c r="EB23" s="214"/>
      <c r="EC23" s="214"/>
      <c r="ED23" s="214"/>
      <c r="EE23" s="214"/>
      <c r="EF23" s="214"/>
      <c r="EG23" s="214"/>
      <c r="EH23" s="214"/>
      <c r="EI23" s="214"/>
      <c r="EJ23" s="214"/>
      <c r="EK23" s="214"/>
      <c r="EL23" s="214"/>
      <c r="EM23" s="214"/>
      <c r="EN23" s="214"/>
      <c r="EO23" s="214"/>
      <c r="EP23" s="214"/>
      <c r="EQ23" s="214"/>
      <c r="ER23" s="214"/>
      <c r="ES23" s="214"/>
      <c r="ET23" s="214"/>
      <c r="EU23" s="214"/>
      <c r="EV23" s="214"/>
      <c r="EW23" s="214"/>
      <c r="EX23" s="214"/>
      <c r="EY23" s="214"/>
      <c r="EZ23" s="214"/>
      <c r="FA23" s="214"/>
      <c r="FB23" s="214"/>
      <c r="FC23" s="214"/>
      <c r="FD23" s="214"/>
      <c r="FE23" s="214"/>
      <c r="FF23" s="214"/>
      <c r="FG23" s="214"/>
      <c r="FH23" s="214"/>
      <c r="FI23" s="214"/>
      <c r="FJ23" s="214"/>
      <c r="FK23" s="214"/>
      <c r="FL23" s="214"/>
      <c r="FM23" s="214"/>
      <c r="FN23" s="214"/>
      <c r="FO23" s="214"/>
      <c r="FP23" s="214"/>
      <c r="FQ23" s="214"/>
      <c r="FR23" s="214"/>
      <c r="FS23" s="214"/>
      <c r="FT23" s="214"/>
      <c r="FU23" s="214"/>
      <c r="FV23" s="214"/>
      <c r="FW23" s="214"/>
      <c r="FX23" s="214"/>
      <c r="FY23" s="214"/>
      <c r="FZ23" s="214"/>
      <c r="GA23" s="214"/>
      <c r="GB23" s="214"/>
      <c r="GC23" s="214"/>
      <c r="GD23" s="214"/>
      <c r="GE23" s="214"/>
      <c r="GF23" s="214"/>
      <c r="GG23" s="214"/>
      <c r="GH23" s="214"/>
      <c r="GI23" s="214"/>
      <c r="GJ23" s="214"/>
      <c r="GK23" s="214"/>
      <c r="GL23" s="214"/>
      <c r="GM23" s="214"/>
      <c r="GN23" s="214"/>
      <c r="GO23" s="214"/>
      <c r="GP23" s="214"/>
      <c r="GQ23" s="214"/>
      <c r="GR23" s="214"/>
      <c r="GS23" s="214"/>
      <c r="GT23" s="214"/>
      <c r="GU23" s="214"/>
      <c r="GV23" s="214"/>
      <c r="GW23" s="214"/>
      <c r="GX23" s="214"/>
      <c r="GY23" s="214"/>
      <c r="GZ23" s="214"/>
      <c r="HA23" s="214"/>
      <c r="HB23" s="214"/>
      <c r="HC23" s="214"/>
      <c r="HD23" s="214"/>
      <c r="HE23" s="214"/>
      <c r="HF23" s="214"/>
      <c r="HG23" s="214"/>
      <c r="HH23" s="214"/>
      <c r="HI23" s="214"/>
      <c r="HJ23" s="214"/>
      <c r="HK23" s="214"/>
      <c r="HL23" s="214"/>
      <c r="HM23" s="214"/>
      <c r="HN23" s="214"/>
      <c r="HO23" s="214"/>
      <c r="HP23" s="214"/>
      <c r="HQ23" s="214"/>
      <c r="HR23" s="214"/>
      <c r="HS23" s="214"/>
      <c r="HT23" s="214"/>
      <c r="HU23" s="214"/>
      <c r="HV23" s="214"/>
      <c r="HW23" s="214"/>
      <c r="HX23" s="214"/>
      <c r="HY23" s="214"/>
      <c r="HZ23" s="214"/>
      <c r="IA23" s="214"/>
      <c r="IB23" s="214"/>
      <c r="IC23" s="214"/>
      <c r="ID23" s="214"/>
      <c r="IE23" s="214"/>
      <c r="IF23" s="214"/>
      <c r="IG23" s="214"/>
      <c r="IH23" s="214"/>
      <c r="II23" s="214"/>
      <c r="IJ23" s="214"/>
      <c r="IK23" s="214"/>
      <c r="IL23" s="214"/>
      <c r="IM23" s="214"/>
      <c r="IN23" s="214"/>
      <c r="IO23" s="214"/>
      <c r="IP23" s="214"/>
      <c r="IQ23" s="214"/>
      <c r="IR23" s="214"/>
      <c r="IS23" s="214"/>
      <c r="IT23" s="214"/>
      <c r="IU23" s="214"/>
      <c r="IV23" s="214"/>
      <c r="IW23" s="214"/>
      <c r="IX23" s="214"/>
      <c r="IY23" s="214"/>
      <c r="IZ23" s="214"/>
      <c r="JA23" s="214"/>
      <c r="JB23" s="214"/>
      <c r="JC23" s="214"/>
      <c r="JD23" s="214"/>
      <c r="JE23" s="214"/>
      <c r="JF23" s="214"/>
      <c r="JG23" s="214"/>
      <c r="JH23" s="214"/>
      <c r="JI23" s="214"/>
    </row>
    <row r="24" spans="1:269">
      <c r="A24" s="149" t="s">
        <v>104</v>
      </c>
      <c r="B24" s="152">
        <f>Invånare!B18</f>
        <v>111</v>
      </c>
      <c r="C24" s="152">
        <f t="shared" si="2"/>
        <v>118557.98999999999</v>
      </c>
      <c r="D24" s="220">
        <f t="shared" si="0"/>
        <v>3.6562469119536217E-3</v>
      </c>
      <c r="E24" s="113">
        <f t="shared" si="1"/>
        <v>15649.65468</v>
      </c>
      <c r="F24" s="214"/>
      <c r="H24" s="149" t="s">
        <v>104</v>
      </c>
      <c r="I24" s="152">
        <v>105</v>
      </c>
      <c r="J24" s="152"/>
      <c r="K24" s="113">
        <v>14161.177799999999</v>
      </c>
      <c r="M24" s="214"/>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c r="CE24" s="214"/>
      <c r="CF24" s="214"/>
      <c r="CG24" s="214"/>
      <c r="CH24" s="214"/>
      <c r="CI24" s="214"/>
      <c r="CJ24" s="214"/>
      <c r="CK24" s="214"/>
      <c r="CL24" s="214"/>
      <c r="CM24" s="214"/>
      <c r="CN24" s="214"/>
      <c r="CO24" s="214"/>
      <c r="CP24" s="214"/>
      <c r="CQ24" s="214"/>
      <c r="CR24" s="214"/>
      <c r="CS24" s="214"/>
      <c r="CT24" s="214"/>
      <c r="CU24" s="214"/>
      <c r="CV24" s="214"/>
      <c r="CW24" s="214"/>
      <c r="CX24" s="214"/>
      <c r="CY24" s="214"/>
      <c r="CZ24" s="214"/>
      <c r="DA24" s="214"/>
      <c r="DB24" s="214"/>
      <c r="DC24" s="214"/>
      <c r="DD24" s="214"/>
      <c r="DE24" s="214"/>
      <c r="DF24" s="214"/>
      <c r="DG24" s="214"/>
      <c r="DH24" s="214"/>
      <c r="DI24" s="214"/>
      <c r="DJ24" s="214"/>
      <c r="DK24" s="214"/>
      <c r="DL24" s="214"/>
      <c r="DM24" s="214"/>
      <c r="DN24" s="214"/>
      <c r="DO24" s="214"/>
      <c r="DP24" s="214"/>
      <c r="DQ24" s="214"/>
      <c r="DR24" s="214"/>
      <c r="DS24" s="214"/>
      <c r="DT24" s="214"/>
      <c r="DU24" s="214"/>
      <c r="DV24" s="214"/>
      <c r="DW24" s="214"/>
      <c r="DX24" s="214"/>
      <c r="DY24" s="214"/>
      <c r="DZ24" s="214"/>
      <c r="EA24" s="214"/>
      <c r="EB24" s="214"/>
      <c r="EC24" s="214"/>
      <c r="ED24" s="214"/>
      <c r="EE24" s="214"/>
      <c r="EF24" s="214"/>
      <c r="EG24" s="214"/>
      <c r="EH24" s="214"/>
      <c r="EI24" s="214"/>
      <c r="EJ24" s="214"/>
      <c r="EK24" s="214"/>
      <c r="EL24" s="214"/>
      <c r="EM24" s="214"/>
      <c r="EN24" s="214"/>
      <c r="EO24" s="214"/>
      <c r="EP24" s="214"/>
      <c r="EQ24" s="214"/>
      <c r="ER24" s="214"/>
      <c r="ES24" s="214"/>
      <c r="ET24" s="214"/>
      <c r="EU24" s="214"/>
      <c r="EV24" s="214"/>
      <c r="EW24" s="214"/>
      <c r="EX24" s="214"/>
      <c r="EY24" s="214"/>
      <c r="EZ24" s="214"/>
      <c r="FA24" s="214"/>
      <c r="FB24" s="214"/>
      <c r="FC24" s="214"/>
      <c r="FD24" s="214"/>
      <c r="FE24" s="214"/>
      <c r="FF24" s="214"/>
      <c r="FG24" s="214"/>
      <c r="FH24" s="214"/>
      <c r="FI24" s="214"/>
      <c r="FJ24" s="214"/>
      <c r="FK24" s="214"/>
      <c r="FL24" s="214"/>
      <c r="FM24" s="214"/>
      <c r="FN24" s="214"/>
      <c r="FO24" s="214"/>
      <c r="FP24" s="214"/>
      <c r="FQ24" s="214"/>
      <c r="FR24" s="214"/>
      <c r="FS24" s="214"/>
      <c r="FT24" s="214"/>
      <c r="FU24" s="214"/>
      <c r="FV24" s="214"/>
      <c r="FW24" s="214"/>
      <c r="FX24" s="214"/>
      <c r="FY24" s="214"/>
      <c r="FZ24" s="214"/>
      <c r="GA24" s="214"/>
      <c r="GB24" s="214"/>
      <c r="GC24" s="214"/>
      <c r="GD24" s="214"/>
      <c r="GE24" s="214"/>
      <c r="GF24" s="214"/>
      <c r="GG24" s="214"/>
      <c r="GH24" s="214"/>
      <c r="GI24" s="214"/>
      <c r="GJ24" s="214"/>
      <c r="GK24" s="214"/>
      <c r="GL24" s="214"/>
      <c r="GM24" s="214"/>
      <c r="GN24" s="214"/>
      <c r="GO24" s="214"/>
      <c r="GP24" s="214"/>
      <c r="GQ24" s="214"/>
      <c r="GR24" s="214"/>
      <c r="GS24" s="214"/>
      <c r="GT24" s="214"/>
      <c r="GU24" s="214"/>
      <c r="GV24" s="214"/>
      <c r="GW24" s="214"/>
      <c r="GX24" s="214"/>
      <c r="GY24" s="214"/>
      <c r="GZ24" s="214"/>
      <c r="HA24" s="214"/>
      <c r="HB24" s="214"/>
      <c r="HC24" s="214"/>
      <c r="HD24" s="214"/>
      <c r="HE24" s="214"/>
      <c r="HF24" s="214"/>
      <c r="HG24" s="214"/>
      <c r="HH24" s="214"/>
      <c r="HI24" s="214"/>
      <c r="HJ24" s="214"/>
      <c r="HK24" s="214"/>
      <c r="HL24" s="214"/>
      <c r="HM24" s="214"/>
      <c r="HN24" s="214"/>
      <c r="HO24" s="214"/>
      <c r="HP24" s="214"/>
      <c r="HQ24" s="214"/>
      <c r="HR24" s="214"/>
      <c r="HS24" s="214"/>
      <c r="HT24" s="214"/>
      <c r="HU24" s="214"/>
      <c r="HV24" s="214"/>
      <c r="HW24" s="214"/>
      <c r="HX24" s="214"/>
      <c r="HY24" s="214"/>
      <c r="HZ24" s="214"/>
      <c r="IA24" s="214"/>
      <c r="IB24" s="214"/>
      <c r="IC24" s="214"/>
      <c r="ID24" s="214"/>
      <c r="IE24" s="214"/>
      <c r="IF24" s="214"/>
      <c r="IG24" s="214"/>
      <c r="IH24" s="214"/>
      <c r="II24" s="214"/>
      <c r="IJ24" s="214"/>
      <c r="IK24" s="214"/>
      <c r="IL24" s="214"/>
      <c r="IM24" s="214"/>
      <c r="IN24" s="214"/>
      <c r="IO24" s="214"/>
      <c r="IP24" s="214"/>
      <c r="IQ24" s="214"/>
      <c r="IR24" s="214"/>
      <c r="IS24" s="214"/>
      <c r="IT24" s="214"/>
      <c r="IU24" s="214"/>
      <c r="IV24" s="214"/>
      <c r="IW24" s="214"/>
      <c r="IX24" s="214"/>
      <c r="IY24" s="214"/>
      <c r="IZ24" s="214"/>
      <c r="JA24" s="214"/>
      <c r="JB24" s="214"/>
      <c r="JC24" s="214"/>
      <c r="JD24" s="214"/>
      <c r="JE24" s="214"/>
      <c r="JF24" s="214"/>
      <c r="JG24" s="214"/>
      <c r="JH24" s="214"/>
      <c r="JI24" s="214"/>
    </row>
    <row r="25" spans="1:269">
      <c r="A25" s="149" t="s">
        <v>105</v>
      </c>
      <c r="B25" s="152">
        <f>Invånare!B19</f>
        <v>1001</v>
      </c>
      <c r="C25" s="152">
        <f t="shared" si="2"/>
        <v>1069158.0899999999</v>
      </c>
      <c r="D25" s="220">
        <f t="shared" si="0"/>
        <v>3.29721005303205E-2</v>
      </c>
      <c r="E25" s="113">
        <f t="shared" si="1"/>
        <v>141128.86787999998</v>
      </c>
      <c r="F25" s="214"/>
      <c r="H25" s="149" t="s">
        <v>105</v>
      </c>
      <c r="I25" s="152">
        <v>1019</v>
      </c>
      <c r="J25" s="152"/>
      <c r="K25" s="113">
        <v>137430.85884</v>
      </c>
      <c r="M25" s="214"/>
      <c r="N25" s="214"/>
      <c r="O25" s="214"/>
      <c r="P25" s="214"/>
      <c r="Q25" s="214"/>
      <c r="R25" s="214"/>
      <c r="S25" s="214"/>
      <c r="T25" s="214"/>
      <c r="U25" s="214"/>
      <c r="V25" s="214"/>
      <c r="W25" s="214"/>
      <c r="X25" s="214"/>
      <c r="Y25" s="214"/>
      <c r="Z25" s="214"/>
      <c r="AA25" s="214"/>
      <c r="AB25" s="214"/>
      <c r="AC25" s="214"/>
      <c r="AD25" s="214"/>
      <c r="AE25" s="214"/>
      <c r="AF25" s="214"/>
      <c r="AG25" s="214"/>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c r="BY25" s="214"/>
      <c r="BZ25" s="214"/>
      <c r="CA25" s="214"/>
      <c r="CB25" s="214"/>
      <c r="CC25" s="214"/>
      <c r="CD25" s="214"/>
      <c r="CE25" s="214"/>
      <c r="CF25" s="214"/>
      <c r="CG25" s="214"/>
      <c r="CH25" s="214"/>
      <c r="CI25" s="214"/>
      <c r="CJ25" s="214"/>
      <c r="CK25" s="214"/>
      <c r="CL25" s="214"/>
      <c r="CM25" s="214"/>
      <c r="CN25" s="214"/>
      <c r="CO25" s="214"/>
      <c r="CP25" s="214"/>
      <c r="CQ25" s="214"/>
      <c r="CR25" s="214"/>
      <c r="CS25" s="214"/>
      <c r="CT25" s="214"/>
      <c r="CU25" s="214"/>
      <c r="CV25" s="214"/>
      <c r="CW25" s="214"/>
      <c r="CX25" s="214"/>
      <c r="CY25" s="214"/>
      <c r="CZ25" s="214"/>
      <c r="DA25" s="214"/>
      <c r="DB25" s="214"/>
      <c r="DC25" s="214"/>
      <c r="DD25" s="214"/>
      <c r="DE25" s="214"/>
      <c r="DF25" s="214"/>
      <c r="DG25" s="214"/>
      <c r="DH25" s="214"/>
      <c r="DI25" s="214"/>
      <c r="DJ25" s="214"/>
      <c r="DK25" s="214"/>
      <c r="DL25" s="214"/>
      <c r="DM25" s="214"/>
      <c r="DN25" s="214"/>
      <c r="DO25" s="214"/>
      <c r="DP25" s="214"/>
      <c r="DQ25" s="214"/>
      <c r="DR25" s="214"/>
      <c r="DS25" s="214"/>
      <c r="DT25" s="214"/>
      <c r="DU25" s="214"/>
      <c r="DV25" s="214"/>
      <c r="DW25" s="214"/>
      <c r="DX25" s="214"/>
      <c r="DY25" s="214"/>
      <c r="DZ25" s="214"/>
      <c r="EA25" s="214"/>
      <c r="EB25" s="214"/>
      <c r="EC25" s="214"/>
      <c r="ED25" s="214"/>
      <c r="EE25" s="214"/>
      <c r="EF25" s="214"/>
      <c r="EG25" s="214"/>
      <c r="EH25" s="214"/>
      <c r="EI25" s="214"/>
      <c r="EJ25" s="214"/>
      <c r="EK25" s="214"/>
      <c r="EL25" s="214"/>
      <c r="EM25" s="214"/>
      <c r="EN25" s="214"/>
      <c r="EO25" s="214"/>
      <c r="EP25" s="214"/>
      <c r="EQ25" s="214"/>
      <c r="ER25" s="214"/>
      <c r="ES25" s="214"/>
      <c r="ET25" s="214"/>
      <c r="EU25" s="214"/>
      <c r="EV25" s="214"/>
      <c r="EW25" s="214"/>
      <c r="EX25" s="214"/>
      <c r="EY25" s="214"/>
      <c r="EZ25" s="214"/>
      <c r="FA25" s="214"/>
      <c r="FB25" s="214"/>
      <c r="FC25" s="214"/>
      <c r="FD25" s="214"/>
      <c r="FE25" s="214"/>
      <c r="FF25" s="214"/>
      <c r="FG25" s="214"/>
      <c r="FH25" s="214"/>
      <c r="FI25" s="214"/>
      <c r="FJ25" s="214"/>
      <c r="FK25" s="214"/>
      <c r="FL25" s="214"/>
      <c r="FM25" s="214"/>
      <c r="FN25" s="214"/>
      <c r="FO25" s="214"/>
      <c r="FP25" s="214"/>
      <c r="FQ25" s="214"/>
      <c r="FR25" s="214"/>
      <c r="FS25" s="214"/>
      <c r="FT25" s="214"/>
      <c r="FU25" s="214"/>
      <c r="FV25" s="214"/>
      <c r="FW25" s="214"/>
      <c r="FX25" s="214"/>
      <c r="FY25" s="214"/>
      <c r="FZ25" s="214"/>
      <c r="GA25" s="214"/>
      <c r="GB25" s="214"/>
      <c r="GC25" s="214"/>
      <c r="GD25" s="214"/>
      <c r="GE25" s="214"/>
      <c r="GF25" s="214"/>
      <c r="GG25" s="214"/>
      <c r="GH25" s="214"/>
      <c r="GI25" s="214"/>
      <c r="GJ25" s="214"/>
      <c r="GK25" s="214"/>
      <c r="GL25" s="214"/>
      <c r="GM25" s="214"/>
      <c r="GN25" s="214"/>
      <c r="GO25" s="214"/>
      <c r="GP25" s="214"/>
      <c r="GQ25" s="214"/>
      <c r="GR25" s="214"/>
      <c r="GS25" s="214"/>
      <c r="GT25" s="214"/>
      <c r="GU25" s="214"/>
      <c r="GV25" s="214"/>
      <c r="GW25" s="214"/>
      <c r="GX25" s="214"/>
      <c r="GY25" s="214"/>
      <c r="GZ25" s="214"/>
      <c r="HA25" s="214"/>
      <c r="HB25" s="214"/>
      <c r="HC25" s="214"/>
      <c r="HD25" s="214"/>
      <c r="HE25" s="214"/>
      <c r="HF25" s="214"/>
      <c r="HG25" s="214"/>
      <c r="HH25" s="214"/>
      <c r="HI25" s="214"/>
      <c r="HJ25" s="214"/>
      <c r="HK25" s="214"/>
      <c r="HL25" s="214"/>
      <c r="HM25" s="214"/>
      <c r="HN25" s="214"/>
      <c r="HO25" s="214"/>
      <c r="HP25" s="214"/>
      <c r="HQ25" s="214"/>
      <c r="HR25" s="214"/>
      <c r="HS25" s="214"/>
      <c r="HT25" s="214"/>
      <c r="HU25" s="214"/>
      <c r="HV25" s="214"/>
      <c r="HW25" s="214"/>
      <c r="HX25" s="214"/>
      <c r="HY25" s="214"/>
      <c r="HZ25" s="214"/>
      <c r="IA25" s="214"/>
      <c r="IB25" s="214"/>
      <c r="IC25" s="214"/>
      <c r="ID25" s="214"/>
      <c r="IE25" s="214"/>
      <c r="IF25" s="214"/>
      <c r="IG25" s="214"/>
      <c r="IH25" s="214"/>
      <c r="II25" s="214"/>
      <c r="IJ25" s="214"/>
      <c r="IK25" s="214"/>
      <c r="IL25" s="214"/>
      <c r="IM25" s="214"/>
      <c r="IN25" s="214"/>
      <c r="IO25" s="214"/>
      <c r="IP25" s="214"/>
      <c r="IQ25" s="214"/>
      <c r="IR25" s="214"/>
      <c r="IS25" s="214"/>
      <c r="IT25" s="214"/>
      <c r="IU25" s="214"/>
      <c r="IV25" s="214"/>
      <c r="IW25" s="214"/>
      <c r="IX25" s="214"/>
      <c r="IY25" s="214"/>
      <c r="IZ25" s="214"/>
      <c r="JA25" s="214"/>
      <c r="JB25" s="214"/>
      <c r="JC25" s="214"/>
      <c r="JD25" s="214"/>
      <c r="JE25" s="214"/>
      <c r="JF25" s="214"/>
      <c r="JG25" s="214"/>
      <c r="JH25" s="214"/>
      <c r="JI25" s="214"/>
    </row>
    <row r="26" spans="1:269">
      <c r="A26" s="149" t="s">
        <v>106</v>
      </c>
      <c r="B26" s="152">
        <f>Invånare!B20</f>
        <v>451</v>
      </c>
      <c r="C26" s="152">
        <f t="shared" si="2"/>
        <v>481708.58999999997</v>
      </c>
      <c r="D26" s="220">
        <f t="shared" si="0"/>
        <v>1.4855561777397148E-2</v>
      </c>
      <c r="E26" s="113">
        <f t="shared" si="1"/>
        <v>63585.533879999995</v>
      </c>
      <c r="F26" s="214"/>
      <c r="H26" s="149" t="s">
        <v>106</v>
      </c>
      <c r="I26" s="152">
        <v>463</v>
      </c>
      <c r="J26" s="152"/>
      <c r="K26" s="113">
        <v>62444.05068</v>
      </c>
      <c r="M26" s="214"/>
      <c r="N26" s="214"/>
      <c r="O26" s="214"/>
      <c r="P26" s="214"/>
      <c r="Q26" s="214"/>
      <c r="R26" s="214"/>
      <c r="S26" s="214"/>
      <c r="T26" s="214"/>
      <c r="U26" s="214"/>
      <c r="V26" s="214"/>
      <c r="W26" s="214"/>
      <c r="X26" s="214"/>
      <c r="Y26" s="214"/>
      <c r="Z26" s="214"/>
      <c r="AA26" s="214"/>
      <c r="AB26" s="214"/>
      <c r="AC26" s="214"/>
      <c r="AD26" s="214"/>
      <c r="AE26" s="214"/>
      <c r="AF26" s="214"/>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c r="CF26" s="214"/>
      <c r="CG26" s="214"/>
      <c r="CH26" s="214"/>
      <c r="CI26" s="214"/>
      <c r="CJ26" s="214"/>
      <c r="CK26" s="214"/>
      <c r="CL26" s="214"/>
      <c r="CM26" s="214"/>
      <c r="CN26" s="214"/>
      <c r="CO26" s="214"/>
      <c r="CP26" s="214"/>
      <c r="CQ26" s="214"/>
      <c r="CR26" s="214"/>
      <c r="CS26" s="214"/>
      <c r="CT26" s="214"/>
      <c r="CU26" s="214"/>
      <c r="CV26" s="214"/>
      <c r="CW26" s="214"/>
      <c r="CX26" s="214"/>
      <c r="CY26" s="214"/>
      <c r="CZ26" s="214"/>
      <c r="DA26" s="214"/>
      <c r="DB26" s="214"/>
      <c r="DC26" s="214"/>
      <c r="DD26" s="214"/>
      <c r="DE26" s="214"/>
      <c r="DF26" s="214"/>
      <c r="DG26" s="214"/>
      <c r="DH26" s="214"/>
      <c r="DI26" s="214"/>
      <c r="DJ26" s="214"/>
      <c r="DK26" s="214"/>
      <c r="DL26" s="214"/>
      <c r="DM26" s="214"/>
      <c r="DN26" s="214"/>
      <c r="DO26" s="214"/>
      <c r="DP26" s="214"/>
      <c r="DQ26" s="214"/>
      <c r="DR26" s="214"/>
      <c r="DS26" s="214"/>
      <c r="DT26" s="214"/>
      <c r="DU26" s="214"/>
      <c r="DV26" s="214"/>
      <c r="DW26" s="214"/>
      <c r="DX26" s="214"/>
      <c r="DY26" s="214"/>
      <c r="DZ26" s="214"/>
      <c r="EA26" s="214"/>
      <c r="EB26" s="214"/>
      <c r="EC26" s="214"/>
      <c r="ED26" s="214"/>
      <c r="EE26" s="214"/>
      <c r="EF26" s="214"/>
      <c r="EG26" s="214"/>
      <c r="EH26" s="214"/>
      <c r="EI26" s="214"/>
      <c r="EJ26" s="214"/>
      <c r="EK26" s="214"/>
      <c r="EL26" s="214"/>
      <c r="EM26" s="214"/>
      <c r="EN26" s="214"/>
      <c r="EO26" s="214"/>
      <c r="EP26" s="214"/>
      <c r="EQ26" s="214"/>
      <c r="ER26" s="214"/>
      <c r="ES26" s="214"/>
      <c r="ET26" s="214"/>
      <c r="EU26" s="214"/>
      <c r="EV26" s="214"/>
      <c r="EW26" s="214"/>
      <c r="EX26" s="214"/>
      <c r="EY26" s="214"/>
      <c r="EZ26" s="214"/>
      <c r="FA26" s="214"/>
      <c r="FB26" s="214"/>
      <c r="FC26" s="214"/>
      <c r="FD26" s="214"/>
      <c r="FE26" s="214"/>
      <c r="FF26" s="214"/>
      <c r="FG26" s="214"/>
      <c r="FH26" s="214"/>
      <c r="FI26" s="214"/>
      <c r="FJ26" s="214"/>
      <c r="FK26" s="214"/>
      <c r="FL26" s="214"/>
      <c r="FM26" s="214"/>
      <c r="FN26" s="214"/>
      <c r="FO26" s="214"/>
      <c r="FP26" s="214"/>
      <c r="FQ26" s="214"/>
      <c r="FR26" s="214"/>
      <c r="FS26" s="214"/>
      <c r="FT26" s="214"/>
      <c r="FU26" s="214"/>
      <c r="FV26" s="214"/>
      <c r="FW26" s="214"/>
      <c r="FX26" s="214"/>
      <c r="FY26" s="214"/>
      <c r="FZ26" s="214"/>
      <c r="GA26" s="214"/>
      <c r="GB26" s="214"/>
      <c r="GC26" s="214"/>
      <c r="GD26" s="214"/>
      <c r="GE26" s="214"/>
      <c r="GF26" s="214"/>
      <c r="GG26" s="214"/>
      <c r="GH26" s="214"/>
      <c r="GI26" s="214"/>
      <c r="GJ26" s="214"/>
      <c r="GK26" s="214"/>
      <c r="GL26" s="214"/>
      <c r="GM26" s="214"/>
      <c r="GN26" s="214"/>
      <c r="GO26" s="214"/>
      <c r="GP26" s="214"/>
      <c r="GQ26" s="214"/>
      <c r="GR26" s="214"/>
      <c r="GS26" s="214"/>
      <c r="GT26" s="214"/>
      <c r="GU26" s="214"/>
      <c r="GV26" s="214"/>
      <c r="GW26" s="214"/>
      <c r="GX26" s="214"/>
      <c r="GY26" s="214"/>
      <c r="GZ26" s="214"/>
      <c r="HA26" s="214"/>
      <c r="HB26" s="214"/>
      <c r="HC26" s="214"/>
      <c r="HD26" s="214"/>
      <c r="HE26" s="214"/>
      <c r="HF26" s="214"/>
      <c r="HG26" s="214"/>
      <c r="HH26" s="214"/>
      <c r="HI26" s="214"/>
      <c r="HJ26" s="214"/>
      <c r="HK26" s="214"/>
      <c r="HL26" s="214"/>
      <c r="HM26" s="214"/>
      <c r="HN26" s="214"/>
      <c r="HO26" s="214"/>
      <c r="HP26" s="214"/>
      <c r="HQ26" s="214"/>
      <c r="HR26" s="214"/>
      <c r="HS26" s="214"/>
      <c r="HT26" s="214"/>
      <c r="HU26" s="214"/>
      <c r="HV26" s="214"/>
      <c r="HW26" s="214"/>
      <c r="HX26" s="214"/>
      <c r="HY26" s="214"/>
      <c r="HZ26" s="214"/>
      <c r="IA26" s="214"/>
      <c r="IB26" s="214"/>
      <c r="IC26" s="214"/>
      <c r="ID26" s="214"/>
      <c r="IE26" s="214"/>
      <c r="IF26" s="214"/>
      <c r="IG26" s="214"/>
      <c r="IH26" s="214"/>
      <c r="II26" s="214"/>
      <c r="IJ26" s="214"/>
      <c r="IK26" s="214"/>
      <c r="IL26" s="214"/>
      <c r="IM26" s="214"/>
      <c r="IN26" s="214"/>
      <c r="IO26" s="214"/>
      <c r="IP26" s="214"/>
      <c r="IQ26" s="214"/>
      <c r="IR26" s="214"/>
      <c r="IS26" s="214"/>
      <c r="IT26" s="214"/>
      <c r="IU26" s="214"/>
      <c r="IV26" s="214"/>
      <c r="IW26" s="214"/>
      <c r="IX26" s="214"/>
      <c r="IY26" s="214"/>
      <c r="IZ26" s="214"/>
      <c r="JA26" s="214"/>
      <c r="JB26" s="214"/>
      <c r="JC26" s="214"/>
      <c r="JD26" s="214"/>
      <c r="JE26" s="214"/>
      <c r="JF26" s="214"/>
      <c r="JG26" s="214"/>
      <c r="JH26" s="214"/>
      <c r="JI26" s="214"/>
    </row>
    <row r="27" spans="1:269">
      <c r="A27" s="155" t="s">
        <v>107</v>
      </c>
      <c r="B27" s="156">
        <f>Invånare!B21</f>
        <v>11757</v>
      </c>
      <c r="C27" s="156">
        <f t="shared" si="2"/>
        <v>12557534.129999999</v>
      </c>
      <c r="D27" s="221">
        <f t="shared" si="0"/>
        <v>0.38726572021476335</v>
      </c>
      <c r="E27" s="114">
        <f t="shared" si="1"/>
        <v>1657594.5051599999</v>
      </c>
      <c r="F27" s="214"/>
      <c r="H27" s="155" t="s">
        <v>107</v>
      </c>
      <c r="I27" s="156">
        <v>11742</v>
      </c>
      <c r="J27" s="156"/>
      <c r="K27" s="114">
        <v>1583624.28312</v>
      </c>
      <c r="M27" s="214"/>
      <c r="N27" s="214"/>
      <c r="O27" s="214"/>
      <c r="P27" s="214"/>
      <c r="Q27" s="214"/>
      <c r="R27" s="214"/>
      <c r="S27" s="214"/>
      <c r="T27" s="214"/>
      <c r="U27" s="214"/>
      <c r="V27" s="214"/>
      <c r="W27" s="214"/>
      <c r="X27" s="214"/>
      <c r="Y27" s="214"/>
      <c r="Z27" s="214"/>
      <c r="AA27" s="214"/>
      <c r="AB27" s="214"/>
      <c r="AC27" s="214"/>
      <c r="AD27" s="214"/>
      <c r="AE27" s="214"/>
      <c r="AF27" s="214"/>
      <c r="AG27" s="214"/>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c r="CF27" s="214"/>
      <c r="CG27" s="214"/>
      <c r="CH27" s="214"/>
      <c r="CI27" s="214"/>
      <c r="CJ27" s="214"/>
      <c r="CK27" s="214"/>
      <c r="CL27" s="214"/>
      <c r="CM27" s="214"/>
      <c r="CN27" s="214"/>
      <c r="CO27" s="214"/>
      <c r="CP27" s="214"/>
      <c r="CQ27" s="214"/>
      <c r="CR27" s="214"/>
      <c r="CS27" s="214"/>
      <c r="CT27" s="214"/>
      <c r="CU27" s="214"/>
      <c r="CV27" s="214"/>
      <c r="CW27" s="214"/>
      <c r="CX27" s="214"/>
      <c r="CY27" s="214"/>
      <c r="CZ27" s="214"/>
      <c r="DA27" s="214"/>
      <c r="DB27" s="214"/>
      <c r="DC27" s="214"/>
      <c r="DD27" s="214"/>
      <c r="DE27" s="214"/>
      <c r="DF27" s="214"/>
      <c r="DG27" s="214"/>
      <c r="DH27" s="214"/>
      <c r="DI27" s="214"/>
      <c r="DJ27" s="214"/>
      <c r="DK27" s="214"/>
      <c r="DL27" s="214"/>
      <c r="DM27" s="214"/>
      <c r="DN27" s="214"/>
      <c r="DO27" s="214"/>
      <c r="DP27" s="214"/>
      <c r="DQ27" s="214"/>
      <c r="DR27" s="214"/>
      <c r="DS27" s="214"/>
      <c r="DT27" s="214"/>
      <c r="DU27" s="214"/>
      <c r="DV27" s="214"/>
      <c r="DW27" s="214"/>
      <c r="DX27" s="214"/>
      <c r="DY27" s="214"/>
      <c r="DZ27" s="214"/>
      <c r="EA27" s="214"/>
      <c r="EB27" s="214"/>
      <c r="EC27" s="214"/>
      <c r="ED27" s="214"/>
      <c r="EE27" s="214"/>
      <c r="EF27" s="214"/>
      <c r="EG27" s="214"/>
      <c r="EH27" s="214"/>
      <c r="EI27" s="214"/>
      <c r="EJ27" s="214"/>
      <c r="EK27" s="214"/>
      <c r="EL27" s="214"/>
      <c r="EM27" s="214"/>
      <c r="EN27" s="214"/>
      <c r="EO27" s="214"/>
      <c r="EP27" s="214"/>
      <c r="EQ27" s="214"/>
      <c r="ER27" s="214"/>
      <c r="ES27" s="214"/>
      <c r="ET27" s="214"/>
      <c r="EU27" s="214"/>
      <c r="EV27" s="214"/>
      <c r="EW27" s="214"/>
      <c r="EX27" s="214"/>
      <c r="EY27" s="214"/>
      <c r="EZ27" s="214"/>
      <c r="FA27" s="214"/>
      <c r="FB27" s="214"/>
      <c r="FC27" s="214"/>
      <c r="FD27" s="214"/>
      <c r="FE27" s="214"/>
      <c r="FF27" s="214"/>
      <c r="FG27" s="214"/>
      <c r="FH27" s="214"/>
      <c r="FI27" s="214"/>
      <c r="FJ27" s="214"/>
      <c r="FK27" s="214"/>
      <c r="FL27" s="214"/>
      <c r="FM27" s="214"/>
      <c r="FN27" s="214"/>
      <c r="FO27" s="214"/>
      <c r="FP27" s="214"/>
      <c r="FQ27" s="214"/>
      <c r="FR27" s="214"/>
      <c r="FS27" s="214"/>
      <c r="FT27" s="214"/>
      <c r="FU27" s="214"/>
      <c r="FV27" s="214"/>
      <c r="FW27" s="214"/>
      <c r="FX27" s="214"/>
      <c r="FY27" s="214"/>
      <c r="FZ27" s="214"/>
      <c r="GA27" s="214"/>
      <c r="GB27" s="214"/>
      <c r="GC27" s="214"/>
      <c r="GD27" s="214"/>
      <c r="GE27" s="214"/>
      <c r="GF27" s="214"/>
      <c r="GG27" s="214"/>
      <c r="GH27" s="214"/>
      <c r="GI27" s="214"/>
      <c r="GJ27" s="214"/>
      <c r="GK27" s="214"/>
      <c r="GL27" s="214"/>
      <c r="GM27" s="214"/>
      <c r="GN27" s="214"/>
      <c r="GO27" s="214"/>
      <c r="GP27" s="214"/>
      <c r="GQ27" s="214"/>
      <c r="GR27" s="214"/>
      <c r="GS27" s="214"/>
      <c r="GT27" s="214"/>
      <c r="GU27" s="214"/>
      <c r="GV27" s="214"/>
      <c r="GW27" s="214"/>
      <c r="GX27" s="214"/>
      <c r="GY27" s="214"/>
      <c r="GZ27" s="214"/>
      <c r="HA27" s="214"/>
      <c r="HB27" s="214"/>
      <c r="HC27" s="214"/>
      <c r="HD27" s="214"/>
      <c r="HE27" s="214"/>
      <c r="HF27" s="214"/>
      <c r="HG27" s="214"/>
      <c r="HH27" s="214"/>
      <c r="HI27" s="214"/>
      <c r="HJ27" s="214"/>
      <c r="HK27" s="214"/>
      <c r="HL27" s="214"/>
      <c r="HM27" s="214"/>
      <c r="HN27" s="214"/>
      <c r="HO27" s="214"/>
      <c r="HP27" s="214"/>
      <c r="HQ27" s="214"/>
      <c r="HR27" s="214"/>
      <c r="HS27" s="214"/>
      <c r="HT27" s="214"/>
      <c r="HU27" s="214"/>
      <c r="HV27" s="214"/>
      <c r="HW27" s="214"/>
      <c r="HX27" s="214"/>
      <c r="HY27" s="214"/>
      <c r="HZ27" s="214"/>
      <c r="IA27" s="214"/>
      <c r="IB27" s="214"/>
      <c r="IC27" s="214"/>
      <c r="ID27" s="214"/>
      <c r="IE27" s="214"/>
      <c r="IF27" s="214"/>
      <c r="IG27" s="214"/>
      <c r="IH27" s="214"/>
      <c r="II27" s="214"/>
      <c r="IJ27" s="214"/>
      <c r="IK27" s="214"/>
      <c r="IL27" s="214"/>
      <c r="IM27" s="214"/>
      <c r="IN27" s="214"/>
      <c r="IO27" s="214"/>
      <c r="IP27" s="214"/>
      <c r="IQ27" s="214"/>
      <c r="IR27" s="214"/>
      <c r="IS27" s="214"/>
      <c r="IT27" s="214"/>
      <c r="IU27" s="214"/>
      <c r="IV27" s="214"/>
      <c r="IW27" s="214"/>
      <c r="IX27" s="214"/>
      <c r="IY27" s="214"/>
      <c r="IZ27" s="214"/>
      <c r="JA27" s="214"/>
      <c r="JB27" s="214"/>
      <c r="JC27" s="214"/>
      <c r="JD27" s="214"/>
      <c r="JE27" s="214"/>
      <c r="JF27" s="214"/>
      <c r="JG27" s="214"/>
      <c r="JH27" s="214"/>
      <c r="JI27" s="214"/>
    </row>
    <row r="28" spans="1:269">
      <c r="A28" s="149" t="s">
        <v>108</v>
      </c>
      <c r="B28" s="157">
        <f>SUM(B12:B27)</f>
        <v>30359</v>
      </c>
      <c r="C28" s="157">
        <f>SUM(C12:C27)</f>
        <v>32426144.309999995</v>
      </c>
      <c r="D28" s="222">
        <f>SUM(D12:D27)</f>
        <v>1</v>
      </c>
      <c r="E28" s="223">
        <f>SUM(E12:E27)</f>
        <v>4280251.04892</v>
      </c>
      <c r="F28" s="214"/>
      <c r="H28" s="149" t="s">
        <v>108</v>
      </c>
      <c r="I28" s="157">
        <v>30344</v>
      </c>
      <c r="J28" s="157">
        <v>31003375.119999997</v>
      </c>
      <c r="K28" s="223">
        <v>4092445.5158399995</v>
      </c>
      <c r="M28" s="214"/>
      <c r="N28" s="214"/>
      <c r="O28" s="214"/>
      <c r="P28" s="214"/>
      <c r="Q28" s="214"/>
      <c r="R28" s="214"/>
      <c r="S28" s="214"/>
      <c r="T28" s="214"/>
      <c r="U28" s="214"/>
      <c r="V28" s="214"/>
      <c r="W28" s="214"/>
      <c r="X28" s="214"/>
      <c r="Y28" s="214"/>
      <c r="Z28" s="214"/>
      <c r="AA28" s="214"/>
      <c r="AB28" s="214"/>
      <c r="AC28" s="214"/>
      <c r="AD28" s="214"/>
      <c r="AE28" s="214"/>
      <c r="AF28" s="214"/>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c r="CF28" s="214"/>
      <c r="CG28" s="214"/>
      <c r="CH28" s="214"/>
      <c r="CI28" s="214"/>
      <c r="CJ28" s="214"/>
      <c r="CK28" s="214"/>
      <c r="CL28" s="214"/>
      <c r="CM28" s="214"/>
      <c r="CN28" s="214"/>
      <c r="CO28" s="214"/>
      <c r="CP28" s="214"/>
      <c r="CQ28" s="214"/>
      <c r="CR28" s="214"/>
      <c r="CS28" s="214"/>
      <c r="CT28" s="214"/>
      <c r="CU28" s="214"/>
      <c r="CV28" s="214"/>
      <c r="CW28" s="214"/>
      <c r="CX28" s="214"/>
      <c r="CY28" s="214"/>
      <c r="CZ28" s="214"/>
      <c r="DA28" s="214"/>
      <c r="DB28" s="214"/>
      <c r="DC28" s="214"/>
      <c r="DD28" s="214"/>
      <c r="DE28" s="214"/>
      <c r="DF28" s="214"/>
      <c r="DG28" s="214"/>
      <c r="DH28" s="214"/>
      <c r="DI28" s="214"/>
      <c r="DJ28" s="214"/>
      <c r="DK28" s="214"/>
      <c r="DL28" s="214"/>
      <c r="DM28" s="214"/>
      <c r="DN28" s="214"/>
      <c r="DO28" s="214"/>
      <c r="DP28" s="214"/>
      <c r="DQ28" s="214"/>
      <c r="DR28" s="214"/>
      <c r="DS28" s="214"/>
      <c r="DT28" s="214"/>
      <c r="DU28" s="214"/>
      <c r="DV28" s="214"/>
      <c r="DW28" s="214"/>
      <c r="DX28" s="214"/>
      <c r="DY28" s="214"/>
      <c r="DZ28" s="214"/>
      <c r="EA28" s="214"/>
      <c r="EB28" s="214"/>
      <c r="EC28" s="214"/>
      <c r="ED28" s="214"/>
      <c r="EE28" s="214"/>
      <c r="EF28" s="214"/>
      <c r="EG28" s="214"/>
      <c r="EH28" s="214"/>
      <c r="EI28" s="214"/>
      <c r="EJ28" s="214"/>
      <c r="EK28" s="214"/>
      <c r="EL28" s="214"/>
      <c r="EM28" s="214"/>
      <c r="EN28" s="214"/>
      <c r="EO28" s="214"/>
      <c r="EP28" s="214"/>
      <c r="EQ28" s="214"/>
      <c r="ER28" s="214"/>
      <c r="ES28" s="214"/>
      <c r="ET28" s="214"/>
      <c r="EU28" s="214"/>
      <c r="EV28" s="214"/>
      <c r="EW28" s="214"/>
      <c r="EX28" s="214"/>
      <c r="EY28" s="214"/>
      <c r="EZ28" s="214"/>
      <c r="FA28" s="214"/>
      <c r="FB28" s="214"/>
      <c r="FC28" s="214"/>
      <c r="FD28" s="214"/>
      <c r="FE28" s="214"/>
      <c r="FF28" s="214"/>
      <c r="FG28" s="214"/>
      <c r="FH28" s="214"/>
      <c r="FI28" s="214"/>
      <c r="FJ28" s="214"/>
      <c r="FK28" s="214"/>
      <c r="FL28" s="214"/>
      <c r="FM28" s="214"/>
      <c r="FN28" s="214"/>
      <c r="FO28" s="214"/>
      <c r="FP28" s="214"/>
      <c r="FQ28" s="214"/>
      <c r="FR28" s="214"/>
      <c r="FS28" s="214"/>
      <c r="FT28" s="214"/>
      <c r="FU28" s="214"/>
      <c r="FV28" s="214"/>
      <c r="FW28" s="214"/>
      <c r="FX28" s="214"/>
      <c r="FY28" s="214"/>
      <c r="FZ28" s="214"/>
      <c r="GA28" s="214"/>
      <c r="GB28" s="214"/>
      <c r="GC28" s="214"/>
      <c r="GD28" s="214"/>
      <c r="GE28" s="214"/>
      <c r="GF28" s="214"/>
      <c r="GG28" s="214"/>
      <c r="GH28" s="214"/>
      <c r="GI28" s="214"/>
      <c r="GJ28" s="214"/>
      <c r="GK28" s="214"/>
      <c r="GL28" s="214"/>
      <c r="GM28" s="214"/>
      <c r="GN28" s="214"/>
      <c r="GO28" s="214"/>
      <c r="GP28" s="214"/>
      <c r="GQ28" s="214"/>
      <c r="GR28" s="214"/>
      <c r="GS28" s="214"/>
      <c r="GT28" s="214"/>
      <c r="GU28" s="214"/>
      <c r="GV28" s="214"/>
      <c r="GW28" s="214"/>
      <c r="GX28" s="214"/>
      <c r="GY28" s="214"/>
      <c r="GZ28" s="214"/>
      <c r="HA28" s="214"/>
      <c r="HB28" s="214"/>
      <c r="HC28" s="214"/>
      <c r="HD28" s="214"/>
      <c r="HE28" s="214"/>
      <c r="HF28" s="214"/>
      <c r="HG28" s="214"/>
      <c r="HH28" s="214"/>
      <c r="HI28" s="214"/>
      <c r="HJ28" s="214"/>
      <c r="HK28" s="214"/>
      <c r="HL28" s="214"/>
      <c r="HM28" s="214"/>
      <c r="HN28" s="214"/>
      <c r="HO28" s="214"/>
      <c r="HP28" s="214"/>
      <c r="HQ28" s="214"/>
      <c r="HR28" s="214"/>
      <c r="HS28" s="214"/>
      <c r="HT28" s="214"/>
      <c r="HU28" s="214"/>
      <c r="HV28" s="214"/>
      <c r="HW28" s="214"/>
      <c r="HX28" s="214"/>
      <c r="HY28" s="214"/>
      <c r="HZ28" s="214"/>
      <c r="IA28" s="214"/>
      <c r="IB28" s="214"/>
      <c r="IC28" s="214"/>
      <c r="ID28" s="214"/>
      <c r="IE28" s="214"/>
      <c r="IF28" s="214"/>
      <c r="IG28" s="214"/>
      <c r="IH28" s="214"/>
      <c r="II28" s="214"/>
      <c r="IJ28" s="214"/>
      <c r="IK28" s="214"/>
      <c r="IL28" s="214"/>
      <c r="IM28" s="214"/>
      <c r="IN28" s="214"/>
      <c r="IO28" s="214"/>
      <c r="IP28" s="214"/>
      <c r="IQ28" s="214"/>
      <c r="IR28" s="214"/>
      <c r="IS28" s="214"/>
      <c r="IT28" s="214"/>
      <c r="IU28" s="214"/>
      <c r="IV28" s="214"/>
      <c r="IW28" s="214"/>
      <c r="IX28" s="214"/>
      <c r="IY28" s="214"/>
      <c r="IZ28" s="214"/>
      <c r="JA28" s="214"/>
      <c r="JB28" s="214"/>
      <c r="JC28" s="214"/>
      <c r="JD28" s="214"/>
      <c r="JE28" s="214"/>
      <c r="JF28" s="214"/>
      <c r="JG28" s="214"/>
      <c r="JH28" s="214"/>
      <c r="JI28" s="214"/>
    </row>
    <row r="29" spans="1:269">
      <c r="A29" s="149"/>
      <c r="B29" s="157"/>
      <c r="C29" s="222"/>
      <c r="D29" s="214"/>
      <c r="E29" s="214"/>
      <c r="F29" s="214"/>
      <c r="M29" s="214"/>
      <c r="N29" s="214"/>
      <c r="O29" s="214"/>
      <c r="P29" s="214"/>
      <c r="Q29" s="214"/>
      <c r="R29" s="214"/>
      <c r="S29" s="214"/>
      <c r="T29" s="214"/>
      <c r="U29" s="214"/>
      <c r="V29" s="214"/>
      <c r="W29" s="214"/>
      <c r="X29" s="214"/>
      <c r="Y29" s="214"/>
      <c r="Z29" s="214"/>
      <c r="AA29" s="214"/>
      <c r="AB29" s="214"/>
      <c r="AC29" s="214"/>
      <c r="AD29" s="214"/>
      <c r="AE29" s="214"/>
      <c r="AF29" s="214"/>
      <c r="AG29" s="214"/>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c r="CF29" s="214"/>
      <c r="CG29" s="214"/>
      <c r="CH29" s="214"/>
      <c r="CI29" s="214"/>
      <c r="CJ29" s="214"/>
      <c r="CK29" s="214"/>
      <c r="CL29" s="214"/>
      <c r="CM29" s="214"/>
      <c r="CN29" s="214"/>
      <c r="CO29" s="214"/>
      <c r="CP29" s="214"/>
      <c r="CQ29" s="214"/>
      <c r="CR29" s="214"/>
      <c r="CS29" s="214"/>
      <c r="CT29" s="214"/>
      <c r="CU29" s="214"/>
      <c r="CV29" s="214"/>
      <c r="CW29" s="214"/>
      <c r="CX29" s="214"/>
      <c r="CY29" s="214"/>
      <c r="CZ29" s="214"/>
      <c r="DA29" s="214"/>
      <c r="DB29" s="214"/>
      <c r="DC29" s="214"/>
      <c r="DD29" s="214"/>
      <c r="DE29" s="214"/>
      <c r="DF29" s="214"/>
      <c r="DG29" s="214"/>
      <c r="DH29" s="214"/>
      <c r="DI29" s="214"/>
      <c r="DJ29" s="214"/>
      <c r="DK29" s="214"/>
      <c r="DL29" s="214"/>
      <c r="DM29" s="214"/>
      <c r="DN29" s="214"/>
      <c r="DO29" s="214"/>
      <c r="DP29" s="214"/>
      <c r="DQ29" s="214"/>
      <c r="DR29" s="214"/>
      <c r="DS29" s="214"/>
      <c r="DT29" s="214"/>
      <c r="DU29" s="214"/>
      <c r="DV29" s="214"/>
      <c r="DW29" s="214"/>
      <c r="DX29" s="214"/>
      <c r="DY29" s="214"/>
      <c r="DZ29" s="214"/>
      <c r="EA29" s="214"/>
      <c r="EB29" s="214"/>
      <c r="EC29" s="214"/>
      <c r="ED29" s="214"/>
      <c r="EE29" s="214"/>
      <c r="EF29" s="214"/>
      <c r="EG29" s="214"/>
      <c r="EH29" s="214"/>
      <c r="EI29" s="214"/>
      <c r="EJ29" s="214"/>
      <c r="EK29" s="214"/>
      <c r="EL29" s="214"/>
      <c r="EM29" s="214"/>
      <c r="EN29" s="214"/>
      <c r="EO29" s="214"/>
      <c r="EP29" s="214"/>
      <c r="EQ29" s="214"/>
      <c r="ER29" s="214"/>
      <c r="ES29" s="214"/>
      <c r="ET29" s="214"/>
      <c r="EU29" s="214"/>
      <c r="EV29" s="214"/>
      <c r="EW29" s="214"/>
      <c r="EX29" s="214"/>
      <c r="EY29" s="214"/>
      <c r="EZ29" s="214"/>
      <c r="FA29" s="214"/>
      <c r="FB29" s="214"/>
      <c r="FC29" s="214"/>
      <c r="FD29" s="214"/>
      <c r="FE29" s="214"/>
      <c r="FF29" s="214"/>
      <c r="FG29" s="214"/>
      <c r="FH29" s="214"/>
      <c r="FI29" s="214"/>
      <c r="FJ29" s="214"/>
      <c r="FK29" s="214"/>
      <c r="FL29" s="214"/>
      <c r="FM29" s="214"/>
      <c r="FN29" s="214"/>
      <c r="FO29" s="214"/>
      <c r="FP29" s="214"/>
      <c r="FQ29" s="214"/>
      <c r="FR29" s="214"/>
      <c r="FS29" s="214"/>
      <c r="FT29" s="214"/>
      <c r="FU29" s="214"/>
      <c r="FV29" s="214"/>
      <c r="FW29" s="214"/>
      <c r="FX29" s="214"/>
      <c r="FY29" s="214"/>
      <c r="FZ29" s="214"/>
      <c r="GA29" s="214"/>
      <c r="GB29" s="214"/>
      <c r="GC29" s="214"/>
      <c r="GD29" s="214"/>
      <c r="GE29" s="214"/>
      <c r="GF29" s="214"/>
      <c r="GG29" s="214"/>
      <c r="GH29" s="214"/>
      <c r="GI29" s="214"/>
      <c r="GJ29" s="214"/>
      <c r="GK29" s="214"/>
      <c r="GL29" s="214"/>
      <c r="GM29" s="214"/>
      <c r="GN29" s="214"/>
      <c r="GO29" s="214"/>
      <c r="GP29" s="214"/>
      <c r="GQ29" s="214"/>
      <c r="GR29" s="214"/>
      <c r="GS29" s="214"/>
      <c r="GT29" s="214"/>
      <c r="GU29" s="214"/>
      <c r="GV29" s="214"/>
      <c r="GW29" s="214"/>
      <c r="GX29" s="214"/>
      <c r="GY29" s="214"/>
      <c r="GZ29" s="214"/>
      <c r="HA29" s="214"/>
      <c r="HB29" s="214"/>
      <c r="HC29" s="214"/>
      <c r="HD29" s="214"/>
      <c r="HE29" s="214"/>
      <c r="HF29" s="214"/>
      <c r="HG29" s="214"/>
      <c r="HH29" s="214"/>
      <c r="HI29" s="214"/>
      <c r="HJ29" s="214"/>
      <c r="HK29" s="214"/>
      <c r="HL29" s="214"/>
      <c r="HM29" s="214"/>
      <c r="HN29" s="214"/>
      <c r="HO29" s="214"/>
      <c r="HP29" s="214"/>
      <c r="HQ29" s="214"/>
      <c r="HR29" s="214"/>
      <c r="HS29" s="214"/>
      <c r="HT29" s="214"/>
      <c r="HU29" s="214"/>
      <c r="HV29" s="214"/>
      <c r="HW29" s="214"/>
      <c r="HX29" s="214"/>
      <c r="HY29" s="214"/>
      <c r="HZ29" s="214"/>
      <c r="IA29" s="214"/>
      <c r="IB29" s="214"/>
      <c r="IC29" s="214"/>
      <c r="ID29" s="214"/>
      <c r="IE29" s="214"/>
      <c r="IF29" s="214"/>
      <c r="IG29" s="214"/>
      <c r="IH29" s="214"/>
      <c r="II29" s="214"/>
      <c r="IJ29" s="214"/>
      <c r="IK29" s="214"/>
      <c r="IL29" s="214"/>
      <c r="IM29" s="214"/>
      <c r="IN29" s="214"/>
      <c r="IO29" s="214"/>
      <c r="IP29" s="214"/>
      <c r="IQ29" s="214"/>
      <c r="IR29" s="214"/>
      <c r="IS29" s="214"/>
      <c r="IT29" s="214"/>
      <c r="IU29" s="214"/>
      <c r="IV29" s="214"/>
      <c r="IW29" s="214"/>
      <c r="IX29" s="214"/>
      <c r="IY29" s="214"/>
      <c r="IZ29" s="214"/>
      <c r="JA29" s="214"/>
      <c r="JB29" s="214"/>
      <c r="JC29" s="214"/>
      <c r="JD29" s="214"/>
      <c r="JE29" s="214"/>
      <c r="JF29" s="214"/>
      <c r="JG29" s="214"/>
      <c r="JH29" s="214"/>
      <c r="JI29" s="214"/>
    </row>
    <row r="30" spans="1:269">
      <c r="A30" s="214"/>
      <c r="B30" s="214"/>
      <c r="C30" s="214"/>
      <c r="D30" s="214"/>
      <c r="E30" s="214"/>
      <c r="F30" s="214"/>
      <c r="M30" s="214"/>
      <c r="N30" s="214"/>
      <c r="O30" s="214"/>
      <c r="P30" s="214"/>
      <c r="Q30" s="214"/>
      <c r="R30" s="214"/>
      <c r="S30" s="214"/>
      <c r="T30" s="214"/>
      <c r="U30" s="214"/>
      <c r="V30" s="214"/>
      <c r="W30" s="214"/>
      <c r="X30" s="214"/>
      <c r="Y30" s="214"/>
      <c r="Z30" s="214"/>
      <c r="AA30" s="214"/>
      <c r="AB30" s="214"/>
      <c r="AC30" s="214"/>
      <c r="AD30" s="214"/>
      <c r="AE30" s="214"/>
      <c r="AF30" s="214"/>
      <c r="AG30" s="214"/>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c r="CE30" s="214"/>
      <c r="CF30" s="214"/>
      <c r="CG30" s="214"/>
      <c r="CH30" s="214"/>
      <c r="CI30" s="214"/>
      <c r="CJ30" s="214"/>
      <c r="CK30" s="214"/>
      <c r="CL30" s="214"/>
      <c r="CM30" s="214"/>
      <c r="CN30" s="214"/>
      <c r="CO30" s="214"/>
      <c r="CP30" s="214"/>
      <c r="CQ30" s="214"/>
      <c r="CR30" s="214"/>
      <c r="CS30" s="214"/>
      <c r="CT30" s="214"/>
      <c r="CU30" s="214"/>
      <c r="CV30" s="214"/>
      <c r="CW30" s="214"/>
      <c r="CX30" s="214"/>
      <c r="CY30" s="214"/>
      <c r="CZ30" s="214"/>
      <c r="DA30" s="214"/>
      <c r="DB30" s="214"/>
      <c r="DC30" s="214"/>
      <c r="DD30" s="214"/>
      <c r="DE30" s="214"/>
      <c r="DF30" s="214"/>
      <c r="DG30" s="214"/>
      <c r="DH30" s="214"/>
      <c r="DI30" s="214"/>
      <c r="DJ30" s="214"/>
      <c r="DK30" s="214"/>
      <c r="DL30" s="214"/>
      <c r="DM30" s="214"/>
      <c r="DN30" s="214"/>
      <c r="DO30" s="214"/>
      <c r="DP30" s="214"/>
      <c r="DQ30" s="214"/>
      <c r="DR30" s="214"/>
      <c r="DS30" s="214"/>
      <c r="DT30" s="214"/>
      <c r="DU30" s="214"/>
      <c r="DV30" s="214"/>
      <c r="DW30" s="214"/>
      <c r="DX30" s="214"/>
      <c r="DY30" s="214"/>
      <c r="DZ30" s="214"/>
      <c r="EA30" s="214"/>
      <c r="EB30" s="214"/>
      <c r="EC30" s="214"/>
      <c r="ED30" s="214"/>
      <c r="EE30" s="214"/>
      <c r="EF30" s="214"/>
      <c r="EG30" s="214"/>
      <c r="EH30" s="214"/>
      <c r="EI30" s="214"/>
      <c r="EJ30" s="214"/>
      <c r="EK30" s="214"/>
      <c r="EL30" s="214"/>
      <c r="EM30" s="214"/>
      <c r="EN30" s="214"/>
      <c r="EO30" s="214"/>
      <c r="EP30" s="214"/>
      <c r="EQ30" s="214"/>
      <c r="ER30" s="214"/>
      <c r="ES30" s="214"/>
      <c r="ET30" s="214"/>
      <c r="EU30" s="214"/>
      <c r="EV30" s="214"/>
      <c r="EW30" s="214"/>
      <c r="EX30" s="214"/>
      <c r="EY30" s="214"/>
      <c r="EZ30" s="214"/>
      <c r="FA30" s="214"/>
      <c r="FB30" s="214"/>
      <c r="FC30" s="214"/>
      <c r="FD30" s="214"/>
      <c r="FE30" s="214"/>
      <c r="FF30" s="214"/>
      <c r="FG30" s="214"/>
      <c r="FH30" s="214"/>
      <c r="FI30" s="214"/>
      <c r="FJ30" s="214"/>
      <c r="FK30" s="214"/>
      <c r="FL30" s="214"/>
      <c r="FM30" s="214"/>
      <c r="FN30" s="214"/>
      <c r="FO30" s="214"/>
      <c r="FP30" s="214"/>
      <c r="FQ30" s="214"/>
      <c r="FR30" s="214"/>
      <c r="FS30" s="214"/>
      <c r="FT30" s="214"/>
      <c r="FU30" s="214"/>
      <c r="FV30" s="214"/>
      <c r="FW30" s="214"/>
      <c r="FX30" s="214"/>
      <c r="FY30" s="214"/>
      <c r="FZ30" s="214"/>
      <c r="GA30" s="214"/>
      <c r="GB30" s="214"/>
      <c r="GC30" s="214"/>
      <c r="GD30" s="214"/>
      <c r="GE30" s="214"/>
      <c r="GF30" s="214"/>
      <c r="GG30" s="214"/>
      <c r="GH30" s="214"/>
      <c r="GI30" s="214"/>
      <c r="GJ30" s="214"/>
      <c r="GK30" s="214"/>
      <c r="GL30" s="214"/>
      <c r="GM30" s="214"/>
      <c r="GN30" s="214"/>
      <c r="GO30" s="214"/>
      <c r="GP30" s="214"/>
      <c r="GQ30" s="214"/>
      <c r="GR30" s="214"/>
      <c r="GS30" s="214"/>
      <c r="GT30" s="214"/>
      <c r="GU30" s="214"/>
      <c r="GV30" s="214"/>
      <c r="GW30" s="214"/>
      <c r="GX30" s="214"/>
      <c r="GY30" s="214"/>
      <c r="GZ30" s="214"/>
      <c r="HA30" s="214"/>
      <c r="HB30" s="214"/>
      <c r="HC30" s="214"/>
      <c r="HD30" s="214"/>
      <c r="HE30" s="214"/>
      <c r="HF30" s="214"/>
      <c r="HG30" s="214"/>
      <c r="HH30" s="214"/>
      <c r="HI30" s="214"/>
      <c r="HJ30" s="214"/>
      <c r="HK30" s="214"/>
      <c r="HL30" s="214"/>
      <c r="HM30" s="214"/>
      <c r="HN30" s="214"/>
      <c r="HO30" s="214"/>
      <c r="HP30" s="214"/>
      <c r="HQ30" s="214"/>
      <c r="HR30" s="214"/>
      <c r="HS30" s="214"/>
      <c r="HT30" s="214"/>
      <c r="HU30" s="214"/>
      <c r="HV30" s="214"/>
      <c r="HW30" s="214"/>
      <c r="HX30" s="214"/>
      <c r="HY30" s="214"/>
      <c r="HZ30" s="214"/>
      <c r="IA30" s="214"/>
      <c r="IB30" s="214"/>
      <c r="IC30" s="214"/>
      <c r="ID30" s="214"/>
      <c r="IE30" s="214"/>
      <c r="IF30" s="214"/>
      <c r="IG30" s="214"/>
      <c r="IH30" s="214"/>
      <c r="II30" s="214"/>
      <c r="IJ30" s="214"/>
      <c r="IK30" s="214"/>
      <c r="IL30" s="214"/>
      <c r="IM30" s="214"/>
      <c r="IN30" s="214"/>
      <c r="IO30" s="214"/>
      <c r="IP30" s="214"/>
      <c r="IQ30" s="214"/>
      <c r="IR30" s="214"/>
      <c r="IS30" s="214"/>
      <c r="IT30" s="214"/>
      <c r="IU30" s="214"/>
      <c r="IV30" s="214"/>
      <c r="IW30" s="214"/>
      <c r="IX30" s="214"/>
      <c r="IY30" s="214"/>
      <c r="IZ30" s="214"/>
      <c r="JA30" s="214"/>
      <c r="JB30" s="214"/>
      <c r="JC30" s="214"/>
      <c r="JD30" s="214"/>
      <c r="JE30" s="214"/>
      <c r="JF30" s="214"/>
      <c r="JG30" s="214"/>
      <c r="JH30" s="214"/>
      <c r="JI30" s="214"/>
    </row>
    <row r="31" spans="1:269">
      <c r="A31" s="214"/>
      <c r="B31" s="214"/>
      <c r="C31" s="214"/>
      <c r="D31" s="214"/>
      <c r="E31" s="214"/>
      <c r="F31" s="214"/>
      <c r="G31" s="214"/>
      <c r="H31" s="214"/>
      <c r="I31" s="214"/>
      <c r="J31" s="214"/>
      <c r="K31" s="214"/>
      <c r="L31" s="214"/>
      <c r="M31" s="214"/>
      <c r="N31" s="214"/>
      <c r="O31" s="214"/>
      <c r="P31" s="214"/>
      <c r="Q31" s="214"/>
      <c r="R31" s="214"/>
      <c r="S31" s="214"/>
      <c r="T31" s="214"/>
      <c r="U31" s="214"/>
      <c r="V31" s="214"/>
      <c r="W31" s="214"/>
      <c r="X31" s="214"/>
      <c r="Y31" s="214"/>
      <c r="Z31" s="214"/>
      <c r="AA31" s="214"/>
      <c r="AB31" s="214"/>
      <c r="AC31" s="214"/>
      <c r="AD31" s="214"/>
      <c r="AE31" s="214"/>
      <c r="AF31" s="214"/>
      <c r="AG31" s="214"/>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c r="BY31" s="214"/>
      <c r="BZ31" s="214"/>
      <c r="CA31" s="214"/>
      <c r="CB31" s="214"/>
      <c r="CC31" s="214"/>
      <c r="CD31" s="214"/>
      <c r="CE31" s="214"/>
      <c r="CF31" s="214"/>
      <c r="CG31" s="214"/>
      <c r="CH31" s="214"/>
      <c r="CI31" s="214"/>
      <c r="CJ31" s="214"/>
      <c r="CK31" s="214"/>
      <c r="CL31" s="214"/>
      <c r="CM31" s="214"/>
      <c r="CN31" s="214"/>
      <c r="CO31" s="214"/>
      <c r="CP31" s="214"/>
      <c r="CQ31" s="214"/>
      <c r="CR31" s="214"/>
      <c r="CS31" s="214"/>
      <c r="CT31" s="214"/>
      <c r="CU31" s="214"/>
      <c r="CV31" s="214"/>
      <c r="CW31" s="214"/>
      <c r="CX31" s="214"/>
      <c r="CY31" s="214"/>
      <c r="CZ31" s="214"/>
      <c r="DA31" s="214"/>
      <c r="DB31" s="214"/>
      <c r="DC31" s="214"/>
      <c r="DD31" s="214"/>
      <c r="DE31" s="214"/>
      <c r="DF31" s="214"/>
      <c r="DG31" s="214"/>
      <c r="DH31" s="214"/>
      <c r="DI31" s="214"/>
      <c r="DJ31" s="214"/>
      <c r="DK31" s="214"/>
      <c r="DL31" s="214"/>
      <c r="DM31" s="214"/>
      <c r="DN31" s="214"/>
      <c r="DO31" s="214"/>
      <c r="DP31" s="214"/>
      <c r="DQ31" s="214"/>
      <c r="DR31" s="214"/>
      <c r="DS31" s="214"/>
      <c r="DT31" s="214"/>
      <c r="DU31" s="214"/>
      <c r="DV31" s="214"/>
      <c r="DW31" s="214"/>
      <c r="DX31" s="214"/>
      <c r="DY31" s="214"/>
      <c r="DZ31" s="214"/>
      <c r="EA31" s="214"/>
      <c r="EB31" s="214"/>
      <c r="EC31" s="214"/>
      <c r="ED31" s="214"/>
      <c r="EE31" s="214"/>
      <c r="EF31" s="214"/>
      <c r="EG31" s="214"/>
      <c r="EH31" s="214"/>
      <c r="EI31" s="214"/>
      <c r="EJ31" s="214"/>
      <c r="EK31" s="214"/>
      <c r="EL31" s="214"/>
      <c r="EM31" s="214"/>
      <c r="EN31" s="214"/>
      <c r="EO31" s="214"/>
      <c r="EP31" s="214"/>
      <c r="EQ31" s="214"/>
      <c r="ER31" s="214"/>
      <c r="ES31" s="214"/>
      <c r="ET31" s="214"/>
      <c r="EU31" s="214"/>
      <c r="EV31" s="214"/>
      <c r="EW31" s="214"/>
      <c r="EX31" s="214"/>
      <c r="EY31" s="214"/>
      <c r="EZ31" s="214"/>
      <c r="FA31" s="214"/>
      <c r="FB31" s="214"/>
      <c r="FC31" s="214"/>
      <c r="FD31" s="214"/>
      <c r="FE31" s="214"/>
      <c r="FF31" s="214"/>
      <c r="FG31" s="214"/>
      <c r="FH31" s="214"/>
      <c r="FI31" s="214"/>
      <c r="FJ31" s="214"/>
      <c r="FK31" s="214"/>
      <c r="FL31" s="214"/>
      <c r="FM31" s="214"/>
      <c r="FN31" s="214"/>
      <c r="FO31" s="214"/>
      <c r="FP31" s="214"/>
      <c r="FQ31" s="214"/>
      <c r="FR31" s="214"/>
      <c r="FS31" s="214"/>
      <c r="FT31" s="214"/>
      <c r="FU31" s="214"/>
      <c r="FV31" s="214"/>
      <c r="FW31" s="214"/>
      <c r="FX31" s="214"/>
      <c r="FY31" s="214"/>
      <c r="FZ31" s="214"/>
      <c r="GA31" s="214"/>
      <c r="GB31" s="214"/>
      <c r="GC31" s="214"/>
      <c r="GD31" s="214"/>
      <c r="GE31" s="214"/>
      <c r="GF31" s="214"/>
      <c r="GG31" s="214"/>
      <c r="GH31" s="214"/>
      <c r="GI31" s="214"/>
      <c r="GJ31" s="214"/>
      <c r="GK31" s="214"/>
      <c r="GL31" s="214"/>
      <c r="GM31" s="214"/>
      <c r="GN31" s="214"/>
      <c r="GO31" s="214"/>
      <c r="GP31" s="214"/>
      <c r="GQ31" s="214"/>
      <c r="GR31" s="214"/>
      <c r="GS31" s="214"/>
      <c r="GT31" s="214"/>
      <c r="GU31" s="214"/>
      <c r="GV31" s="214"/>
      <c r="GW31" s="214"/>
      <c r="GX31" s="214"/>
      <c r="GY31" s="214"/>
      <c r="GZ31" s="214"/>
      <c r="HA31" s="214"/>
      <c r="HB31" s="214"/>
      <c r="HC31" s="214"/>
      <c r="HD31" s="214"/>
      <c r="HE31" s="214"/>
      <c r="HF31" s="214"/>
      <c r="HG31" s="214"/>
      <c r="HH31" s="214"/>
      <c r="HI31" s="214"/>
      <c r="HJ31" s="214"/>
      <c r="HK31" s="214"/>
      <c r="HL31" s="214"/>
      <c r="HM31" s="214"/>
      <c r="HN31" s="214"/>
      <c r="HO31" s="214"/>
      <c r="HP31" s="214"/>
      <c r="HQ31" s="214"/>
      <c r="HR31" s="214"/>
      <c r="HS31" s="214"/>
      <c r="HT31" s="214"/>
      <c r="HU31" s="214"/>
      <c r="HV31" s="214"/>
      <c r="HW31" s="214"/>
      <c r="HX31" s="214"/>
      <c r="HY31" s="214"/>
      <c r="HZ31" s="214"/>
      <c r="IA31" s="214"/>
      <c r="IB31" s="214"/>
      <c r="IC31" s="214"/>
      <c r="ID31" s="214"/>
      <c r="IE31" s="214"/>
      <c r="IF31" s="214"/>
      <c r="IG31" s="214"/>
      <c r="IH31" s="214"/>
      <c r="II31" s="214"/>
      <c r="IJ31" s="214"/>
      <c r="IK31" s="214"/>
      <c r="IL31" s="214"/>
      <c r="IM31" s="214"/>
      <c r="IN31" s="214"/>
      <c r="IO31" s="214"/>
      <c r="IP31" s="214"/>
      <c r="IQ31" s="214"/>
      <c r="IR31" s="214"/>
      <c r="IS31" s="214"/>
      <c r="IT31" s="214"/>
      <c r="IU31" s="214"/>
      <c r="IV31" s="214"/>
      <c r="IW31" s="214"/>
      <c r="IX31" s="214"/>
      <c r="IY31" s="214"/>
      <c r="IZ31" s="214"/>
      <c r="JA31" s="214"/>
      <c r="JB31" s="214"/>
      <c r="JC31" s="214"/>
      <c r="JD31" s="214"/>
      <c r="JE31" s="214"/>
      <c r="JF31" s="214"/>
      <c r="JG31" s="214"/>
      <c r="JH31" s="214"/>
      <c r="JI31" s="214"/>
    </row>
    <row r="32" spans="1:269">
      <c r="A32" s="224" t="s">
        <v>583</v>
      </c>
      <c r="B32" s="214"/>
      <c r="C32" s="214"/>
      <c r="D32" s="214"/>
      <c r="E32" s="214"/>
      <c r="F32" s="214"/>
      <c r="G32" s="214"/>
      <c r="H32" s="214"/>
      <c r="I32" s="214"/>
      <c r="J32" s="214"/>
      <c r="K32" s="214"/>
      <c r="L32" s="214"/>
      <c r="M32" s="214"/>
      <c r="N32" s="214"/>
      <c r="O32" s="214"/>
      <c r="P32" s="214"/>
      <c r="Q32" s="214"/>
      <c r="R32" s="214"/>
      <c r="S32" s="214"/>
      <c r="T32" s="214"/>
      <c r="U32" s="214"/>
      <c r="V32" s="214"/>
      <c r="W32" s="214"/>
      <c r="X32" s="214"/>
      <c r="Y32" s="214"/>
      <c r="Z32" s="214"/>
      <c r="AA32" s="214"/>
      <c r="AB32" s="214"/>
      <c r="AC32" s="214"/>
      <c r="AD32" s="214"/>
      <c r="AE32" s="214"/>
      <c r="AF32" s="214"/>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c r="BY32" s="214"/>
      <c r="BZ32" s="214"/>
      <c r="CA32" s="214"/>
      <c r="CB32" s="214"/>
      <c r="CC32" s="214"/>
      <c r="CD32" s="214"/>
      <c r="CE32" s="214"/>
      <c r="CF32" s="214"/>
      <c r="CG32" s="214"/>
      <c r="CH32" s="214"/>
      <c r="CI32" s="214"/>
      <c r="CJ32" s="214"/>
      <c r="CK32" s="214"/>
      <c r="CL32" s="214"/>
      <c r="CM32" s="214"/>
      <c r="CN32" s="214"/>
      <c r="CO32" s="214"/>
      <c r="CP32" s="214"/>
      <c r="CQ32" s="214"/>
      <c r="CR32" s="214"/>
      <c r="CS32" s="214"/>
      <c r="CT32" s="214"/>
      <c r="CU32" s="214"/>
      <c r="CV32" s="214"/>
      <c r="CW32" s="214"/>
      <c r="CX32" s="214"/>
      <c r="CY32" s="214"/>
      <c r="CZ32" s="214"/>
      <c r="DA32" s="214"/>
      <c r="DB32" s="214"/>
      <c r="DC32" s="214"/>
      <c r="DD32" s="214"/>
      <c r="DE32" s="214"/>
      <c r="DF32" s="214"/>
      <c r="DG32" s="214"/>
      <c r="DH32" s="214"/>
      <c r="DI32" s="214"/>
      <c r="DJ32" s="214"/>
      <c r="DK32" s="214"/>
      <c r="DL32" s="214"/>
      <c r="DM32" s="214"/>
      <c r="DN32" s="214"/>
      <c r="DO32" s="214"/>
      <c r="DP32" s="214"/>
      <c r="DQ32" s="214"/>
      <c r="DR32" s="214"/>
      <c r="DS32" s="214"/>
      <c r="DT32" s="214"/>
      <c r="DU32" s="214"/>
      <c r="DV32" s="214"/>
      <c r="DW32" s="214"/>
      <c r="DX32" s="214"/>
      <c r="DY32" s="214"/>
      <c r="DZ32" s="214"/>
      <c r="EA32" s="214"/>
      <c r="EB32" s="214"/>
      <c r="EC32" s="214"/>
      <c r="ED32" s="214"/>
      <c r="EE32" s="214"/>
      <c r="EF32" s="214"/>
      <c r="EG32" s="214"/>
      <c r="EH32" s="214"/>
      <c r="EI32" s="214"/>
      <c r="EJ32" s="214"/>
      <c r="EK32" s="214"/>
      <c r="EL32" s="214"/>
      <c r="EM32" s="214"/>
      <c r="EN32" s="214"/>
      <c r="EO32" s="214"/>
      <c r="EP32" s="214"/>
      <c r="EQ32" s="214"/>
      <c r="ER32" s="214"/>
      <c r="ES32" s="214"/>
      <c r="ET32" s="214"/>
      <c r="EU32" s="214"/>
      <c r="EV32" s="214"/>
      <c r="EW32" s="214"/>
      <c r="EX32" s="214"/>
      <c r="EY32" s="214"/>
      <c r="EZ32" s="214"/>
      <c r="FA32" s="214"/>
      <c r="FB32" s="214"/>
      <c r="FC32" s="214"/>
      <c r="FD32" s="214"/>
      <c r="FE32" s="214"/>
      <c r="FF32" s="214"/>
      <c r="FG32" s="214"/>
      <c r="FH32" s="214"/>
      <c r="FI32" s="214"/>
      <c r="FJ32" s="214"/>
      <c r="FK32" s="214"/>
      <c r="FL32" s="214"/>
      <c r="FM32" s="214"/>
      <c r="FN32" s="214"/>
      <c r="FO32" s="214"/>
      <c r="FP32" s="214"/>
      <c r="FQ32" s="214"/>
      <c r="FR32" s="214"/>
      <c r="FS32" s="214"/>
      <c r="FT32" s="214"/>
      <c r="FU32" s="214"/>
      <c r="FV32" s="214"/>
      <c r="FW32" s="214"/>
      <c r="FX32" s="214"/>
      <c r="FY32" s="214"/>
      <c r="FZ32" s="214"/>
      <c r="GA32" s="214"/>
      <c r="GB32" s="214"/>
      <c r="GC32" s="214"/>
      <c r="GD32" s="214"/>
      <c r="GE32" s="214"/>
      <c r="GF32" s="214"/>
      <c r="GG32" s="214"/>
      <c r="GH32" s="214"/>
      <c r="GI32" s="214"/>
      <c r="GJ32" s="214"/>
      <c r="GK32" s="214"/>
      <c r="GL32" s="214"/>
      <c r="GM32" s="214"/>
      <c r="GN32" s="214"/>
      <c r="GO32" s="214"/>
      <c r="GP32" s="214"/>
      <c r="GQ32" s="214"/>
      <c r="GR32" s="214"/>
      <c r="GS32" s="214"/>
      <c r="GT32" s="214"/>
      <c r="GU32" s="214"/>
      <c r="GV32" s="214"/>
      <c r="GW32" s="214"/>
      <c r="GX32" s="214"/>
      <c r="GY32" s="214"/>
      <c r="GZ32" s="214"/>
      <c r="HA32" s="214"/>
      <c r="HB32" s="214"/>
      <c r="HC32" s="214"/>
      <c r="HD32" s="214"/>
      <c r="HE32" s="214"/>
      <c r="HF32" s="214"/>
      <c r="HG32" s="214"/>
      <c r="HH32" s="214"/>
      <c r="HI32" s="214"/>
      <c r="HJ32" s="214"/>
      <c r="HK32" s="214"/>
      <c r="HL32" s="214"/>
      <c r="HM32" s="214"/>
      <c r="HN32" s="214"/>
      <c r="HO32" s="214"/>
      <c r="HP32" s="214"/>
      <c r="HQ32" s="214"/>
      <c r="HR32" s="214"/>
      <c r="HS32" s="214"/>
      <c r="HT32" s="214"/>
      <c r="HU32" s="214"/>
      <c r="HV32" s="214"/>
      <c r="HW32" s="214"/>
      <c r="HX32" s="214"/>
      <c r="HY32" s="214"/>
      <c r="HZ32" s="214"/>
      <c r="IA32" s="214"/>
      <c r="IB32" s="214"/>
      <c r="IC32" s="214"/>
      <c r="ID32" s="214"/>
      <c r="IE32" s="214"/>
      <c r="IF32" s="214"/>
      <c r="IG32" s="214"/>
      <c r="IH32" s="214"/>
      <c r="II32" s="214"/>
      <c r="IJ32" s="214"/>
      <c r="IK32" s="214"/>
      <c r="IL32" s="214"/>
      <c r="IM32" s="214"/>
      <c r="IN32" s="214"/>
      <c r="IO32" s="214"/>
      <c r="IP32" s="214"/>
      <c r="IQ32" s="214"/>
      <c r="IR32" s="214"/>
      <c r="IS32" s="214"/>
      <c r="IT32" s="214"/>
      <c r="IU32" s="214"/>
      <c r="IV32" s="214"/>
      <c r="IW32" s="214"/>
      <c r="IX32" s="214"/>
      <c r="IY32" s="214"/>
      <c r="IZ32" s="214"/>
      <c r="JA32" s="214"/>
      <c r="JB32" s="214"/>
      <c r="JC32" s="214"/>
      <c r="JD32" s="214"/>
      <c r="JE32" s="214"/>
      <c r="JF32" s="214"/>
      <c r="JG32" s="214"/>
      <c r="JH32" s="214"/>
      <c r="JI32" s="214"/>
    </row>
    <row r="33" spans="1:269">
      <c r="A33" s="215"/>
      <c r="B33" s="155" t="s">
        <v>534</v>
      </c>
      <c r="C33" s="225"/>
      <c r="D33" s="226" t="s">
        <v>584</v>
      </c>
      <c r="E33" s="214"/>
      <c r="F33" s="214"/>
      <c r="G33" s="214"/>
      <c r="H33" s="214"/>
      <c r="I33" s="214"/>
      <c r="J33" s="214"/>
      <c r="K33" s="214"/>
      <c r="L33" s="214"/>
      <c r="M33" s="214"/>
      <c r="N33" s="214"/>
      <c r="O33" s="214"/>
      <c r="P33" s="214"/>
      <c r="Q33" s="214"/>
      <c r="R33" s="214"/>
      <c r="S33" s="214"/>
      <c r="T33" s="214"/>
      <c r="U33" s="214"/>
      <c r="V33" s="214"/>
      <c r="W33" s="214"/>
      <c r="X33" s="214"/>
      <c r="Y33" s="214"/>
      <c r="Z33" s="214"/>
      <c r="AA33" s="214"/>
      <c r="AB33" s="214"/>
      <c r="AC33" s="214"/>
      <c r="AD33" s="214"/>
      <c r="AE33" s="214"/>
      <c r="AF33" s="214"/>
      <c r="AG33" s="214"/>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c r="BY33" s="214"/>
      <c r="BZ33" s="214"/>
      <c r="CA33" s="214"/>
      <c r="CB33" s="214"/>
      <c r="CC33" s="214"/>
      <c r="CD33" s="214"/>
      <c r="CE33" s="214"/>
      <c r="CF33" s="214"/>
      <c r="CG33" s="214"/>
      <c r="CH33" s="214"/>
      <c r="CI33" s="214"/>
      <c r="CJ33" s="214"/>
      <c r="CK33" s="214"/>
      <c r="CL33" s="214"/>
      <c r="CM33" s="214"/>
      <c r="CN33" s="214"/>
      <c r="CO33" s="214"/>
      <c r="CP33" s="214"/>
      <c r="CQ33" s="214"/>
      <c r="CR33" s="214"/>
      <c r="CS33" s="214"/>
      <c r="CT33" s="214"/>
      <c r="CU33" s="214"/>
      <c r="CV33" s="214"/>
      <c r="CW33" s="214"/>
      <c r="CX33" s="214"/>
      <c r="CY33" s="214"/>
      <c r="CZ33" s="214"/>
      <c r="DA33" s="214"/>
      <c r="DB33" s="214"/>
      <c r="DC33" s="214"/>
      <c r="DD33" s="214"/>
      <c r="DE33" s="214"/>
      <c r="DF33" s="214"/>
      <c r="DG33" s="214"/>
      <c r="DH33" s="214"/>
      <c r="DI33" s="214"/>
      <c r="DJ33" s="214"/>
      <c r="DK33" s="214"/>
      <c r="DL33" s="214"/>
      <c r="DM33" s="214"/>
      <c r="DN33" s="214"/>
      <c r="DO33" s="214"/>
      <c r="DP33" s="214"/>
      <c r="DQ33" s="214"/>
      <c r="DR33" s="214"/>
      <c r="DS33" s="214"/>
      <c r="DT33" s="214"/>
      <c r="DU33" s="214"/>
      <c r="DV33" s="214"/>
      <c r="DW33" s="214"/>
      <c r="DX33" s="214"/>
      <c r="DY33" s="214"/>
      <c r="DZ33" s="214"/>
      <c r="EA33" s="214"/>
      <c r="EB33" s="214"/>
      <c r="EC33" s="214"/>
      <c r="ED33" s="214"/>
      <c r="EE33" s="214"/>
      <c r="EF33" s="214"/>
      <c r="EG33" s="214"/>
      <c r="EH33" s="214"/>
      <c r="EI33" s="214"/>
      <c r="EJ33" s="214"/>
      <c r="EK33" s="214"/>
      <c r="EL33" s="214"/>
      <c r="EM33" s="214"/>
      <c r="EN33" s="214"/>
      <c r="EO33" s="214"/>
      <c r="EP33" s="214"/>
      <c r="EQ33" s="214"/>
      <c r="ER33" s="214"/>
      <c r="ES33" s="214"/>
      <c r="ET33" s="214"/>
      <c r="EU33" s="214"/>
      <c r="EV33" s="214"/>
      <c r="EW33" s="214"/>
      <c r="EX33" s="214"/>
      <c r="EY33" s="214"/>
      <c r="EZ33" s="214"/>
      <c r="FA33" s="214"/>
      <c r="FB33" s="214"/>
      <c r="FC33" s="214"/>
      <c r="FD33" s="214"/>
      <c r="FE33" s="214"/>
      <c r="FF33" s="214"/>
      <c r="FG33" s="214"/>
      <c r="FH33" s="214"/>
      <c r="FI33" s="214"/>
      <c r="FJ33" s="214"/>
      <c r="FK33" s="214"/>
      <c r="FL33" s="214"/>
      <c r="FM33" s="214"/>
      <c r="FN33" s="214"/>
      <c r="FO33" s="214"/>
      <c r="FP33" s="214"/>
      <c r="FQ33" s="214"/>
      <c r="FR33" s="214"/>
      <c r="FS33" s="214"/>
      <c r="FT33" s="214"/>
      <c r="FU33" s="214"/>
      <c r="FV33" s="214"/>
      <c r="FW33" s="214"/>
      <c r="FX33" s="214"/>
      <c r="FY33" s="214"/>
      <c r="FZ33" s="214"/>
      <c r="GA33" s="214"/>
      <c r="GB33" s="214"/>
      <c r="GC33" s="214"/>
      <c r="GD33" s="214"/>
      <c r="GE33" s="214"/>
      <c r="GF33" s="214"/>
      <c r="GG33" s="214"/>
      <c r="GH33" s="214"/>
      <c r="GI33" s="214"/>
      <c r="GJ33" s="214"/>
      <c r="GK33" s="214"/>
      <c r="GL33" s="214"/>
      <c r="GM33" s="214"/>
      <c r="GN33" s="214"/>
      <c r="GO33" s="214"/>
      <c r="GP33" s="214"/>
      <c r="GQ33" s="214"/>
      <c r="GR33" s="214"/>
      <c r="GS33" s="214"/>
      <c r="GT33" s="214"/>
      <c r="GU33" s="214"/>
      <c r="GV33" s="214"/>
      <c r="GW33" s="214"/>
      <c r="GX33" s="214"/>
      <c r="GY33" s="214"/>
      <c r="GZ33" s="214"/>
      <c r="HA33" s="214"/>
      <c r="HB33" s="214"/>
      <c r="HC33" s="214"/>
      <c r="HD33" s="214"/>
      <c r="HE33" s="214"/>
      <c r="HF33" s="214"/>
      <c r="HG33" s="214"/>
      <c r="HH33" s="214"/>
      <c r="HI33" s="214"/>
      <c r="HJ33" s="214"/>
      <c r="HK33" s="214"/>
      <c r="HL33" s="214"/>
      <c r="HM33" s="214"/>
      <c r="HN33" s="214"/>
      <c r="HO33" s="214"/>
      <c r="HP33" s="214"/>
      <c r="HQ33" s="214"/>
      <c r="HR33" s="214"/>
      <c r="HS33" s="214"/>
      <c r="HT33" s="214"/>
      <c r="HU33" s="214"/>
      <c r="HV33" s="214"/>
      <c r="HW33" s="214"/>
      <c r="HX33" s="214"/>
      <c r="HY33" s="214"/>
      <c r="HZ33" s="214"/>
      <c r="IA33" s="214"/>
      <c r="IB33" s="214"/>
      <c r="IC33" s="214"/>
      <c r="ID33" s="214"/>
      <c r="IE33" s="214"/>
      <c r="IF33" s="214"/>
      <c r="IG33" s="214"/>
      <c r="IH33" s="214"/>
      <c r="II33" s="214"/>
      <c r="IJ33" s="214"/>
      <c r="IK33" s="214"/>
      <c r="IL33" s="214"/>
      <c r="IM33" s="214"/>
      <c r="IN33" s="214"/>
      <c r="IO33" s="214"/>
      <c r="IP33" s="214"/>
      <c r="IQ33" s="214"/>
      <c r="IR33" s="214"/>
      <c r="IS33" s="214"/>
      <c r="IT33" s="214"/>
      <c r="IU33" s="214"/>
      <c r="IV33" s="214"/>
      <c r="IW33" s="214"/>
      <c r="IX33" s="214"/>
      <c r="IY33" s="214"/>
      <c r="IZ33" s="214"/>
      <c r="JA33" s="214"/>
      <c r="JB33" s="214"/>
      <c r="JC33" s="214"/>
      <c r="JD33" s="214"/>
      <c r="JE33" s="214"/>
      <c r="JF33" s="214"/>
      <c r="JG33" s="214"/>
      <c r="JH33" s="214"/>
      <c r="JI33" s="214"/>
    </row>
    <row r="34" spans="1:269">
      <c r="A34" s="149" t="s">
        <v>92</v>
      </c>
      <c r="B34" s="152">
        <f t="shared" ref="B34:B49" si="3">E12</f>
        <v>63444.545999999995</v>
      </c>
      <c r="C34" s="152"/>
      <c r="D34" s="305">
        <f>ROUND(B34-C34,2)</f>
        <v>63444.55</v>
      </c>
      <c r="E34" s="214"/>
      <c r="F34" s="214"/>
      <c r="G34" s="227"/>
      <c r="H34" s="214"/>
      <c r="I34" s="214"/>
      <c r="J34" s="214"/>
      <c r="K34" s="214"/>
      <c r="L34" s="214"/>
      <c r="M34" s="214"/>
      <c r="N34" s="214"/>
      <c r="O34" s="214"/>
      <c r="P34" s="214"/>
      <c r="Q34" s="214"/>
      <c r="R34" s="214"/>
      <c r="S34" s="214"/>
      <c r="T34" s="214"/>
      <c r="U34" s="214"/>
      <c r="V34" s="214"/>
      <c r="W34" s="214"/>
      <c r="X34" s="214"/>
      <c r="Y34" s="214"/>
      <c r="Z34" s="214"/>
      <c r="AA34" s="214"/>
      <c r="AB34" s="214"/>
      <c r="AC34" s="214"/>
      <c r="AD34" s="214"/>
      <c r="AE34" s="214"/>
      <c r="AF34" s="214"/>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214"/>
      <c r="CD34" s="214"/>
      <c r="CE34" s="214"/>
      <c r="CF34" s="214"/>
      <c r="CG34" s="214"/>
      <c r="CH34" s="214"/>
      <c r="CI34" s="214"/>
      <c r="CJ34" s="214"/>
      <c r="CK34" s="214"/>
      <c r="CL34" s="214"/>
      <c r="CM34" s="214"/>
      <c r="CN34" s="214"/>
      <c r="CO34" s="214"/>
      <c r="CP34" s="214"/>
      <c r="CQ34" s="214"/>
      <c r="CR34" s="214"/>
      <c r="CS34" s="214"/>
      <c r="CT34" s="214"/>
      <c r="CU34" s="214"/>
      <c r="CV34" s="214"/>
      <c r="CW34" s="214"/>
      <c r="CX34" s="214"/>
      <c r="CY34" s="214"/>
      <c r="CZ34" s="214"/>
      <c r="DA34" s="214"/>
      <c r="DB34" s="214"/>
      <c r="DC34" s="214"/>
      <c r="DD34" s="214"/>
      <c r="DE34" s="214"/>
      <c r="DF34" s="214"/>
      <c r="DG34" s="214"/>
      <c r="DH34" s="214"/>
      <c r="DI34" s="214"/>
      <c r="DJ34" s="214"/>
      <c r="DK34" s="214"/>
      <c r="DL34" s="214"/>
      <c r="DM34" s="214"/>
      <c r="DN34" s="214"/>
      <c r="DO34" s="214"/>
      <c r="DP34" s="214"/>
      <c r="DQ34" s="214"/>
      <c r="DR34" s="214"/>
      <c r="DS34" s="214"/>
      <c r="DT34" s="214"/>
      <c r="DU34" s="214"/>
      <c r="DV34" s="214"/>
      <c r="DW34" s="214"/>
      <c r="DX34" s="214"/>
      <c r="DY34" s="214"/>
      <c r="DZ34" s="214"/>
      <c r="EA34" s="214"/>
      <c r="EB34" s="214"/>
      <c r="EC34" s="214"/>
      <c r="ED34" s="214"/>
      <c r="EE34" s="214"/>
      <c r="EF34" s="214"/>
      <c r="EG34" s="214"/>
      <c r="EH34" s="214"/>
      <c r="EI34" s="214"/>
      <c r="EJ34" s="214"/>
      <c r="EK34" s="214"/>
      <c r="EL34" s="214"/>
      <c r="EM34" s="214"/>
      <c r="EN34" s="214"/>
      <c r="EO34" s="214"/>
      <c r="EP34" s="214"/>
      <c r="EQ34" s="214"/>
      <c r="ER34" s="214"/>
      <c r="ES34" s="214"/>
      <c r="ET34" s="214"/>
      <c r="EU34" s="214"/>
      <c r="EV34" s="214"/>
      <c r="EW34" s="214"/>
      <c r="EX34" s="214"/>
      <c r="EY34" s="214"/>
      <c r="EZ34" s="214"/>
      <c r="FA34" s="214"/>
      <c r="FB34" s="214"/>
      <c r="FC34" s="214"/>
      <c r="FD34" s="214"/>
      <c r="FE34" s="214"/>
      <c r="FF34" s="214"/>
      <c r="FG34" s="214"/>
      <c r="FH34" s="214"/>
      <c r="FI34" s="214"/>
      <c r="FJ34" s="214"/>
      <c r="FK34" s="214"/>
      <c r="FL34" s="214"/>
      <c r="FM34" s="214"/>
      <c r="FN34" s="214"/>
      <c r="FO34" s="214"/>
      <c r="FP34" s="214"/>
      <c r="FQ34" s="214"/>
      <c r="FR34" s="214"/>
      <c r="FS34" s="214"/>
      <c r="FT34" s="214"/>
      <c r="FU34" s="214"/>
      <c r="FV34" s="214"/>
      <c r="FW34" s="214"/>
      <c r="FX34" s="214"/>
      <c r="FY34" s="214"/>
      <c r="FZ34" s="214"/>
      <c r="GA34" s="214"/>
      <c r="GB34" s="214"/>
      <c r="GC34" s="214"/>
      <c r="GD34" s="214"/>
      <c r="GE34" s="214"/>
      <c r="GF34" s="214"/>
      <c r="GG34" s="214"/>
      <c r="GH34" s="214"/>
      <c r="GI34" s="214"/>
      <c r="GJ34" s="214"/>
      <c r="GK34" s="214"/>
      <c r="GL34" s="214"/>
      <c r="GM34" s="214"/>
      <c r="GN34" s="214"/>
      <c r="GO34" s="214"/>
      <c r="GP34" s="214"/>
      <c r="GQ34" s="214"/>
      <c r="GR34" s="214"/>
      <c r="GS34" s="214"/>
      <c r="GT34" s="214"/>
      <c r="GU34" s="214"/>
      <c r="GV34" s="214"/>
      <c r="GW34" s="214"/>
      <c r="GX34" s="214"/>
      <c r="GY34" s="214"/>
      <c r="GZ34" s="214"/>
      <c r="HA34" s="214"/>
      <c r="HB34" s="214"/>
      <c r="HC34" s="214"/>
      <c r="HD34" s="214"/>
      <c r="HE34" s="214"/>
      <c r="HF34" s="214"/>
      <c r="HG34" s="214"/>
      <c r="HH34" s="214"/>
      <c r="HI34" s="214"/>
      <c r="HJ34" s="214"/>
      <c r="HK34" s="214"/>
      <c r="HL34" s="214"/>
      <c r="HM34" s="214"/>
      <c r="HN34" s="214"/>
      <c r="HO34" s="214"/>
      <c r="HP34" s="214"/>
      <c r="HQ34" s="214"/>
      <c r="HR34" s="214"/>
      <c r="HS34" s="214"/>
      <c r="HT34" s="214"/>
      <c r="HU34" s="214"/>
      <c r="HV34" s="214"/>
      <c r="HW34" s="214"/>
      <c r="HX34" s="214"/>
      <c r="HY34" s="214"/>
      <c r="HZ34" s="214"/>
      <c r="IA34" s="214"/>
      <c r="IB34" s="214"/>
      <c r="IC34" s="214"/>
      <c r="ID34" s="214"/>
      <c r="IE34" s="214"/>
      <c r="IF34" s="214"/>
      <c r="IG34" s="214"/>
      <c r="IH34" s="214"/>
      <c r="II34" s="214"/>
      <c r="IJ34" s="214"/>
      <c r="IK34" s="214"/>
      <c r="IL34" s="214"/>
      <c r="IM34" s="214"/>
      <c r="IN34" s="214"/>
      <c r="IO34" s="214"/>
      <c r="IP34" s="214"/>
      <c r="IQ34" s="214"/>
      <c r="IR34" s="214"/>
      <c r="IS34" s="214"/>
      <c r="IT34" s="214"/>
      <c r="IU34" s="214"/>
      <c r="IV34" s="214"/>
      <c r="IW34" s="214"/>
      <c r="IX34" s="214"/>
      <c r="IY34" s="214"/>
      <c r="IZ34" s="214"/>
      <c r="JA34" s="214"/>
      <c r="JB34" s="214"/>
      <c r="JC34" s="214"/>
      <c r="JD34" s="214"/>
      <c r="JE34" s="214"/>
      <c r="JF34" s="214"/>
      <c r="JG34" s="214"/>
      <c r="JH34" s="214"/>
      <c r="JI34" s="214"/>
    </row>
    <row r="35" spans="1:269">
      <c r="A35" s="149" t="s">
        <v>93</v>
      </c>
      <c r="B35" s="152">
        <f t="shared" si="3"/>
        <v>132387.61932</v>
      </c>
      <c r="C35" s="152"/>
      <c r="D35" s="305">
        <f t="shared" ref="D35:D49" si="4">ROUND(B35-C35,2)</f>
        <v>132387.62</v>
      </c>
      <c r="E35" s="214"/>
      <c r="F35" s="214"/>
      <c r="G35" s="227"/>
      <c r="H35" s="214"/>
      <c r="I35" s="214"/>
      <c r="J35" s="214"/>
      <c r="K35" s="214"/>
      <c r="L35" s="214"/>
      <c r="M35" s="214"/>
      <c r="N35" s="214"/>
      <c r="O35" s="214"/>
      <c r="P35" s="214"/>
      <c r="Q35" s="214"/>
      <c r="R35" s="214"/>
      <c r="S35" s="214"/>
      <c r="T35" s="214"/>
      <c r="U35" s="214"/>
      <c r="V35" s="214"/>
      <c r="W35" s="214"/>
      <c r="X35" s="214"/>
      <c r="Y35" s="214"/>
      <c r="Z35" s="214"/>
      <c r="AA35" s="214"/>
      <c r="AB35" s="214"/>
      <c r="AC35" s="214"/>
      <c r="AD35" s="214"/>
      <c r="AE35" s="214"/>
      <c r="AF35" s="214"/>
      <c r="AG35" s="214"/>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c r="CE35" s="214"/>
      <c r="CF35" s="214"/>
      <c r="CG35" s="214"/>
      <c r="CH35" s="214"/>
      <c r="CI35" s="214"/>
      <c r="CJ35" s="214"/>
      <c r="CK35" s="214"/>
      <c r="CL35" s="214"/>
      <c r="CM35" s="214"/>
      <c r="CN35" s="214"/>
      <c r="CO35" s="214"/>
      <c r="CP35" s="214"/>
      <c r="CQ35" s="214"/>
      <c r="CR35" s="214"/>
      <c r="CS35" s="214"/>
      <c r="CT35" s="214"/>
      <c r="CU35" s="214"/>
      <c r="CV35" s="214"/>
      <c r="CW35" s="214"/>
      <c r="CX35" s="214"/>
      <c r="CY35" s="214"/>
      <c r="CZ35" s="214"/>
      <c r="DA35" s="214"/>
      <c r="DB35" s="214"/>
      <c r="DC35" s="214"/>
      <c r="DD35" s="214"/>
      <c r="DE35" s="214"/>
      <c r="DF35" s="214"/>
      <c r="DG35" s="214"/>
      <c r="DH35" s="214"/>
      <c r="DI35" s="214"/>
      <c r="DJ35" s="214"/>
      <c r="DK35" s="214"/>
      <c r="DL35" s="214"/>
      <c r="DM35" s="214"/>
      <c r="DN35" s="214"/>
      <c r="DO35" s="214"/>
      <c r="DP35" s="214"/>
      <c r="DQ35" s="214"/>
      <c r="DR35" s="214"/>
      <c r="DS35" s="214"/>
      <c r="DT35" s="214"/>
      <c r="DU35" s="214"/>
      <c r="DV35" s="214"/>
      <c r="DW35" s="214"/>
      <c r="DX35" s="214"/>
      <c r="DY35" s="214"/>
      <c r="DZ35" s="214"/>
      <c r="EA35" s="214"/>
      <c r="EB35" s="214"/>
      <c r="EC35" s="214"/>
      <c r="ED35" s="214"/>
      <c r="EE35" s="214"/>
      <c r="EF35" s="214"/>
      <c r="EG35" s="214"/>
      <c r="EH35" s="214"/>
      <c r="EI35" s="214"/>
      <c r="EJ35" s="214"/>
      <c r="EK35" s="214"/>
      <c r="EL35" s="214"/>
      <c r="EM35" s="214"/>
      <c r="EN35" s="214"/>
      <c r="EO35" s="214"/>
      <c r="EP35" s="214"/>
      <c r="EQ35" s="214"/>
      <c r="ER35" s="214"/>
      <c r="ES35" s="214"/>
      <c r="ET35" s="214"/>
      <c r="EU35" s="214"/>
      <c r="EV35" s="214"/>
      <c r="EW35" s="214"/>
      <c r="EX35" s="214"/>
      <c r="EY35" s="214"/>
      <c r="EZ35" s="214"/>
      <c r="FA35" s="214"/>
      <c r="FB35" s="214"/>
      <c r="FC35" s="214"/>
      <c r="FD35" s="214"/>
      <c r="FE35" s="214"/>
      <c r="FF35" s="214"/>
      <c r="FG35" s="214"/>
      <c r="FH35" s="214"/>
      <c r="FI35" s="214"/>
      <c r="FJ35" s="214"/>
      <c r="FK35" s="214"/>
      <c r="FL35" s="214"/>
      <c r="FM35" s="214"/>
      <c r="FN35" s="214"/>
      <c r="FO35" s="214"/>
      <c r="FP35" s="214"/>
      <c r="FQ35" s="214"/>
      <c r="FR35" s="214"/>
      <c r="FS35" s="214"/>
      <c r="FT35" s="214"/>
      <c r="FU35" s="214"/>
      <c r="FV35" s="214"/>
      <c r="FW35" s="214"/>
      <c r="FX35" s="214"/>
      <c r="FY35" s="214"/>
      <c r="FZ35" s="214"/>
      <c r="GA35" s="214"/>
      <c r="GB35" s="214"/>
      <c r="GC35" s="214"/>
      <c r="GD35" s="214"/>
      <c r="GE35" s="214"/>
      <c r="GF35" s="214"/>
      <c r="GG35" s="214"/>
      <c r="GH35" s="214"/>
      <c r="GI35" s="214"/>
      <c r="GJ35" s="214"/>
      <c r="GK35" s="214"/>
      <c r="GL35" s="214"/>
      <c r="GM35" s="214"/>
      <c r="GN35" s="214"/>
      <c r="GO35" s="214"/>
      <c r="GP35" s="214"/>
      <c r="GQ35" s="214"/>
      <c r="GR35" s="214"/>
      <c r="GS35" s="214"/>
      <c r="GT35" s="214"/>
      <c r="GU35" s="214"/>
      <c r="GV35" s="214"/>
      <c r="GW35" s="214"/>
      <c r="GX35" s="214"/>
      <c r="GY35" s="214"/>
      <c r="GZ35" s="214"/>
      <c r="HA35" s="214"/>
      <c r="HB35" s="214"/>
      <c r="HC35" s="214"/>
      <c r="HD35" s="214"/>
      <c r="HE35" s="214"/>
      <c r="HF35" s="214"/>
      <c r="HG35" s="214"/>
      <c r="HH35" s="214"/>
      <c r="HI35" s="214"/>
      <c r="HJ35" s="214"/>
      <c r="HK35" s="214"/>
      <c r="HL35" s="214"/>
      <c r="HM35" s="214"/>
      <c r="HN35" s="214"/>
      <c r="HO35" s="214"/>
      <c r="HP35" s="214"/>
      <c r="HQ35" s="214"/>
      <c r="HR35" s="214"/>
      <c r="HS35" s="214"/>
      <c r="HT35" s="214"/>
      <c r="HU35" s="214"/>
      <c r="HV35" s="214"/>
      <c r="HW35" s="214"/>
      <c r="HX35" s="214"/>
      <c r="HY35" s="214"/>
      <c r="HZ35" s="214"/>
      <c r="IA35" s="214"/>
      <c r="IB35" s="214"/>
      <c r="IC35" s="214"/>
      <c r="ID35" s="214"/>
      <c r="IE35" s="214"/>
      <c r="IF35" s="214"/>
      <c r="IG35" s="214"/>
      <c r="IH35" s="214"/>
      <c r="II35" s="214"/>
      <c r="IJ35" s="214"/>
      <c r="IK35" s="214"/>
      <c r="IL35" s="214"/>
      <c r="IM35" s="214"/>
      <c r="IN35" s="214"/>
      <c r="IO35" s="214"/>
      <c r="IP35" s="214"/>
      <c r="IQ35" s="214"/>
      <c r="IR35" s="214"/>
      <c r="IS35" s="214"/>
      <c r="IT35" s="214"/>
      <c r="IU35" s="214"/>
      <c r="IV35" s="214"/>
      <c r="IW35" s="214"/>
      <c r="IX35" s="214"/>
      <c r="IY35" s="214"/>
      <c r="IZ35" s="214"/>
      <c r="JA35" s="214"/>
      <c r="JB35" s="214"/>
      <c r="JC35" s="214"/>
      <c r="JD35" s="214"/>
      <c r="JE35" s="214"/>
      <c r="JF35" s="214"/>
      <c r="JG35" s="214"/>
      <c r="JH35" s="214"/>
      <c r="JI35" s="214"/>
    </row>
    <row r="36" spans="1:269">
      <c r="A36" s="149" t="s">
        <v>94</v>
      </c>
      <c r="B36" s="152">
        <f t="shared" si="3"/>
        <v>364876.63343999995</v>
      </c>
      <c r="C36" s="152"/>
      <c r="D36" s="305">
        <f t="shared" si="4"/>
        <v>364876.63</v>
      </c>
      <c r="E36" s="214"/>
      <c r="F36" s="214"/>
      <c r="G36" s="227"/>
      <c r="H36" s="214"/>
      <c r="I36" s="214"/>
      <c r="J36" s="214"/>
      <c r="K36" s="214"/>
      <c r="L36" s="214"/>
      <c r="M36" s="214"/>
      <c r="N36" s="214"/>
      <c r="O36" s="214"/>
      <c r="P36" s="214"/>
      <c r="Q36" s="214"/>
      <c r="R36" s="214"/>
      <c r="S36" s="214"/>
      <c r="T36" s="214"/>
      <c r="U36" s="214"/>
      <c r="V36" s="214"/>
      <c r="W36" s="214"/>
      <c r="X36" s="214"/>
      <c r="Y36" s="214"/>
      <c r="Z36" s="214"/>
      <c r="AA36" s="214"/>
      <c r="AB36" s="214"/>
      <c r="AC36" s="214"/>
      <c r="AD36" s="214"/>
      <c r="AE36" s="214"/>
      <c r="AF36" s="214"/>
      <c r="AG36" s="214"/>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c r="CE36" s="214"/>
      <c r="CF36" s="214"/>
      <c r="CG36" s="214"/>
      <c r="CH36" s="214"/>
      <c r="CI36" s="214"/>
      <c r="CJ36" s="214"/>
      <c r="CK36" s="214"/>
      <c r="CL36" s="214"/>
      <c r="CM36" s="214"/>
      <c r="CN36" s="214"/>
      <c r="CO36" s="214"/>
      <c r="CP36" s="214"/>
      <c r="CQ36" s="214"/>
      <c r="CR36" s="214"/>
      <c r="CS36" s="214"/>
      <c r="CT36" s="214"/>
      <c r="CU36" s="214"/>
      <c r="CV36" s="214"/>
      <c r="CW36" s="214"/>
      <c r="CX36" s="214"/>
      <c r="CY36" s="214"/>
      <c r="CZ36" s="214"/>
      <c r="DA36" s="214"/>
      <c r="DB36" s="214"/>
      <c r="DC36" s="214"/>
      <c r="DD36" s="214"/>
      <c r="DE36" s="214"/>
      <c r="DF36" s="214"/>
      <c r="DG36" s="214"/>
      <c r="DH36" s="214"/>
      <c r="DI36" s="214"/>
      <c r="DJ36" s="214"/>
      <c r="DK36" s="214"/>
      <c r="DL36" s="214"/>
      <c r="DM36" s="214"/>
      <c r="DN36" s="214"/>
      <c r="DO36" s="214"/>
      <c r="DP36" s="214"/>
      <c r="DQ36" s="214"/>
      <c r="DR36" s="214"/>
      <c r="DS36" s="214"/>
      <c r="DT36" s="214"/>
      <c r="DU36" s="214"/>
      <c r="DV36" s="214"/>
      <c r="DW36" s="214"/>
      <c r="DX36" s="214"/>
      <c r="DY36" s="214"/>
      <c r="DZ36" s="214"/>
      <c r="EA36" s="214"/>
      <c r="EB36" s="214"/>
      <c r="EC36" s="214"/>
      <c r="ED36" s="214"/>
      <c r="EE36" s="214"/>
      <c r="EF36" s="214"/>
      <c r="EG36" s="214"/>
      <c r="EH36" s="214"/>
      <c r="EI36" s="214"/>
      <c r="EJ36" s="214"/>
      <c r="EK36" s="214"/>
      <c r="EL36" s="214"/>
      <c r="EM36" s="214"/>
      <c r="EN36" s="214"/>
      <c r="EO36" s="214"/>
      <c r="EP36" s="214"/>
      <c r="EQ36" s="214"/>
      <c r="ER36" s="214"/>
      <c r="ES36" s="214"/>
      <c r="ET36" s="214"/>
      <c r="EU36" s="214"/>
      <c r="EV36" s="214"/>
      <c r="EW36" s="214"/>
      <c r="EX36" s="214"/>
      <c r="EY36" s="214"/>
      <c r="EZ36" s="214"/>
      <c r="FA36" s="214"/>
      <c r="FB36" s="214"/>
      <c r="FC36" s="214"/>
      <c r="FD36" s="214"/>
      <c r="FE36" s="214"/>
      <c r="FF36" s="214"/>
      <c r="FG36" s="214"/>
      <c r="FH36" s="214"/>
      <c r="FI36" s="214"/>
      <c r="FJ36" s="214"/>
      <c r="FK36" s="214"/>
      <c r="FL36" s="214"/>
      <c r="FM36" s="214"/>
      <c r="FN36" s="214"/>
      <c r="FO36" s="214"/>
      <c r="FP36" s="214"/>
      <c r="FQ36" s="214"/>
      <c r="FR36" s="214"/>
      <c r="FS36" s="214"/>
      <c r="FT36" s="214"/>
      <c r="FU36" s="214"/>
      <c r="FV36" s="214"/>
      <c r="FW36" s="214"/>
      <c r="FX36" s="214"/>
      <c r="FY36" s="214"/>
      <c r="FZ36" s="214"/>
      <c r="GA36" s="214"/>
      <c r="GB36" s="214"/>
      <c r="GC36" s="214"/>
      <c r="GD36" s="214"/>
      <c r="GE36" s="214"/>
      <c r="GF36" s="214"/>
      <c r="GG36" s="214"/>
      <c r="GH36" s="214"/>
      <c r="GI36" s="214"/>
      <c r="GJ36" s="214"/>
      <c r="GK36" s="214"/>
      <c r="GL36" s="214"/>
      <c r="GM36" s="214"/>
      <c r="GN36" s="214"/>
      <c r="GO36" s="214"/>
      <c r="GP36" s="214"/>
      <c r="GQ36" s="214"/>
      <c r="GR36" s="214"/>
      <c r="GS36" s="214"/>
      <c r="GT36" s="214"/>
      <c r="GU36" s="214"/>
      <c r="GV36" s="214"/>
      <c r="GW36" s="214"/>
      <c r="GX36" s="214"/>
      <c r="GY36" s="214"/>
      <c r="GZ36" s="214"/>
      <c r="HA36" s="214"/>
      <c r="HB36" s="214"/>
      <c r="HC36" s="214"/>
      <c r="HD36" s="214"/>
      <c r="HE36" s="214"/>
      <c r="HF36" s="214"/>
      <c r="HG36" s="214"/>
      <c r="HH36" s="214"/>
      <c r="HI36" s="214"/>
      <c r="HJ36" s="214"/>
      <c r="HK36" s="214"/>
      <c r="HL36" s="214"/>
      <c r="HM36" s="214"/>
      <c r="HN36" s="214"/>
      <c r="HO36" s="214"/>
      <c r="HP36" s="214"/>
      <c r="HQ36" s="214"/>
      <c r="HR36" s="214"/>
      <c r="HS36" s="214"/>
      <c r="HT36" s="214"/>
      <c r="HU36" s="214"/>
      <c r="HV36" s="214"/>
      <c r="HW36" s="214"/>
      <c r="HX36" s="214"/>
      <c r="HY36" s="214"/>
      <c r="HZ36" s="214"/>
      <c r="IA36" s="214"/>
      <c r="IB36" s="214"/>
      <c r="IC36" s="214"/>
      <c r="ID36" s="214"/>
      <c r="IE36" s="214"/>
      <c r="IF36" s="214"/>
      <c r="IG36" s="214"/>
      <c r="IH36" s="214"/>
      <c r="II36" s="214"/>
      <c r="IJ36" s="214"/>
      <c r="IK36" s="214"/>
      <c r="IL36" s="214"/>
      <c r="IM36" s="214"/>
      <c r="IN36" s="214"/>
      <c r="IO36" s="214"/>
      <c r="IP36" s="214"/>
      <c r="IQ36" s="214"/>
      <c r="IR36" s="214"/>
      <c r="IS36" s="214"/>
      <c r="IT36" s="214"/>
      <c r="IU36" s="214"/>
      <c r="IV36" s="214"/>
      <c r="IW36" s="214"/>
      <c r="IX36" s="214"/>
      <c r="IY36" s="214"/>
      <c r="IZ36" s="214"/>
      <c r="JA36" s="214"/>
      <c r="JB36" s="214"/>
      <c r="JC36" s="214"/>
      <c r="JD36" s="214"/>
      <c r="JE36" s="214"/>
      <c r="JF36" s="214"/>
      <c r="JG36" s="214"/>
      <c r="JH36" s="214"/>
      <c r="JI36" s="214"/>
    </row>
    <row r="37" spans="1:269">
      <c r="A37" s="149" t="s">
        <v>95</v>
      </c>
      <c r="B37" s="152">
        <f t="shared" si="3"/>
        <v>71057.89151999999</v>
      </c>
      <c r="C37" s="152"/>
      <c r="D37" s="305">
        <f t="shared" si="4"/>
        <v>71057.89</v>
      </c>
      <c r="E37" s="214"/>
      <c r="F37" s="214"/>
      <c r="G37" s="227"/>
      <c r="H37" s="214"/>
      <c r="I37" s="214"/>
      <c r="J37" s="214"/>
      <c r="K37" s="214"/>
      <c r="L37" s="214"/>
      <c r="M37" s="214"/>
      <c r="N37" s="214"/>
      <c r="O37" s="214"/>
      <c r="P37" s="214"/>
      <c r="Q37" s="214"/>
      <c r="R37" s="214"/>
      <c r="S37" s="214"/>
      <c r="T37" s="214"/>
      <c r="U37" s="214"/>
      <c r="V37" s="214"/>
      <c r="W37" s="214"/>
      <c r="X37" s="214"/>
      <c r="Y37" s="214"/>
      <c r="Z37" s="214"/>
      <c r="AA37" s="214"/>
      <c r="AB37" s="214"/>
      <c r="AC37" s="214"/>
      <c r="AD37" s="214"/>
      <c r="AE37" s="214"/>
      <c r="AF37" s="214"/>
      <c r="AG37" s="214"/>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c r="CE37" s="214"/>
      <c r="CF37" s="214"/>
      <c r="CG37" s="214"/>
      <c r="CH37" s="214"/>
      <c r="CI37" s="214"/>
      <c r="CJ37" s="214"/>
      <c r="CK37" s="214"/>
      <c r="CL37" s="214"/>
      <c r="CM37" s="214"/>
      <c r="CN37" s="214"/>
      <c r="CO37" s="214"/>
      <c r="CP37" s="214"/>
      <c r="CQ37" s="214"/>
      <c r="CR37" s="214"/>
      <c r="CS37" s="214"/>
      <c r="CT37" s="214"/>
      <c r="CU37" s="214"/>
      <c r="CV37" s="214"/>
      <c r="CW37" s="214"/>
      <c r="CX37" s="214"/>
      <c r="CY37" s="214"/>
      <c r="CZ37" s="214"/>
      <c r="DA37" s="214"/>
      <c r="DB37" s="214"/>
      <c r="DC37" s="214"/>
      <c r="DD37" s="214"/>
      <c r="DE37" s="214"/>
      <c r="DF37" s="214"/>
      <c r="DG37" s="214"/>
      <c r="DH37" s="214"/>
      <c r="DI37" s="214"/>
      <c r="DJ37" s="214"/>
      <c r="DK37" s="214"/>
      <c r="DL37" s="214"/>
      <c r="DM37" s="214"/>
      <c r="DN37" s="214"/>
      <c r="DO37" s="214"/>
      <c r="DP37" s="214"/>
      <c r="DQ37" s="214"/>
      <c r="DR37" s="214"/>
      <c r="DS37" s="214"/>
      <c r="DT37" s="214"/>
      <c r="DU37" s="214"/>
      <c r="DV37" s="214"/>
      <c r="DW37" s="214"/>
      <c r="DX37" s="214"/>
      <c r="DY37" s="214"/>
      <c r="DZ37" s="214"/>
      <c r="EA37" s="214"/>
      <c r="EB37" s="214"/>
      <c r="EC37" s="214"/>
      <c r="ED37" s="214"/>
      <c r="EE37" s="214"/>
      <c r="EF37" s="214"/>
      <c r="EG37" s="214"/>
      <c r="EH37" s="214"/>
      <c r="EI37" s="214"/>
      <c r="EJ37" s="214"/>
      <c r="EK37" s="214"/>
      <c r="EL37" s="214"/>
      <c r="EM37" s="214"/>
      <c r="EN37" s="214"/>
      <c r="EO37" s="214"/>
      <c r="EP37" s="214"/>
      <c r="EQ37" s="214"/>
      <c r="ER37" s="214"/>
      <c r="ES37" s="214"/>
      <c r="ET37" s="214"/>
      <c r="EU37" s="214"/>
      <c r="EV37" s="214"/>
      <c r="EW37" s="214"/>
      <c r="EX37" s="214"/>
      <c r="EY37" s="214"/>
      <c r="EZ37" s="214"/>
      <c r="FA37" s="214"/>
      <c r="FB37" s="214"/>
      <c r="FC37" s="214"/>
      <c r="FD37" s="214"/>
      <c r="FE37" s="214"/>
      <c r="FF37" s="214"/>
      <c r="FG37" s="214"/>
      <c r="FH37" s="214"/>
      <c r="FI37" s="214"/>
      <c r="FJ37" s="214"/>
      <c r="FK37" s="214"/>
      <c r="FL37" s="214"/>
      <c r="FM37" s="214"/>
      <c r="FN37" s="214"/>
      <c r="FO37" s="214"/>
      <c r="FP37" s="214"/>
      <c r="FQ37" s="214"/>
      <c r="FR37" s="214"/>
      <c r="FS37" s="214"/>
      <c r="FT37" s="214"/>
      <c r="FU37" s="214"/>
      <c r="FV37" s="214"/>
      <c r="FW37" s="214"/>
      <c r="FX37" s="214"/>
      <c r="FY37" s="214"/>
      <c r="FZ37" s="214"/>
      <c r="GA37" s="214"/>
      <c r="GB37" s="214"/>
      <c r="GC37" s="214"/>
      <c r="GD37" s="214"/>
      <c r="GE37" s="214"/>
      <c r="GF37" s="214"/>
      <c r="GG37" s="214"/>
      <c r="GH37" s="214"/>
      <c r="GI37" s="214"/>
      <c r="GJ37" s="214"/>
      <c r="GK37" s="214"/>
      <c r="GL37" s="214"/>
      <c r="GM37" s="214"/>
      <c r="GN37" s="214"/>
      <c r="GO37" s="214"/>
      <c r="GP37" s="214"/>
      <c r="GQ37" s="214"/>
      <c r="GR37" s="214"/>
      <c r="GS37" s="214"/>
      <c r="GT37" s="214"/>
      <c r="GU37" s="214"/>
      <c r="GV37" s="214"/>
      <c r="GW37" s="214"/>
      <c r="GX37" s="214"/>
      <c r="GY37" s="214"/>
      <c r="GZ37" s="214"/>
      <c r="HA37" s="214"/>
      <c r="HB37" s="214"/>
      <c r="HC37" s="214"/>
      <c r="HD37" s="214"/>
      <c r="HE37" s="214"/>
      <c r="HF37" s="214"/>
      <c r="HG37" s="214"/>
      <c r="HH37" s="214"/>
      <c r="HI37" s="214"/>
      <c r="HJ37" s="214"/>
      <c r="HK37" s="214"/>
      <c r="HL37" s="214"/>
      <c r="HM37" s="214"/>
      <c r="HN37" s="214"/>
      <c r="HO37" s="214"/>
      <c r="HP37" s="214"/>
      <c r="HQ37" s="214"/>
      <c r="HR37" s="214"/>
      <c r="HS37" s="214"/>
      <c r="HT37" s="214"/>
      <c r="HU37" s="214"/>
      <c r="HV37" s="214"/>
      <c r="HW37" s="214"/>
      <c r="HX37" s="214"/>
      <c r="HY37" s="214"/>
      <c r="HZ37" s="214"/>
      <c r="IA37" s="214"/>
      <c r="IB37" s="214"/>
      <c r="IC37" s="214"/>
      <c r="ID37" s="214"/>
      <c r="IE37" s="214"/>
      <c r="IF37" s="214"/>
      <c r="IG37" s="214"/>
      <c r="IH37" s="214"/>
      <c r="II37" s="214"/>
      <c r="IJ37" s="214"/>
      <c r="IK37" s="214"/>
      <c r="IL37" s="214"/>
      <c r="IM37" s="214"/>
      <c r="IN37" s="214"/>
      <c r="IO37" s="214"/>
      <c r="IP37" s="214"/>
      <c r="IQ37" s="214"/>
      <c r="IR37" s="214"/>
      <c r="IS37" s="214"/>
      <c r="IT37" s="214"/>
      <c r="IU37" s="214"/>
      <c r="IV37" s="214"/>
      <c r="IW37" s="214"/>
      <c r="IX37" s="214"/>
      <c r="IY37" s="214"/>
      <c r="IZ37" s="214"/>
      <c r="JA37" s="214"/>
      <c r="JB37" s="214"/>
      <c r="JC37" s="214"/>
      <c r="JD37" s="214"/>
      <c r="JE37" s="214"/>
      <c r="JF37" s="214"/>
      <c r="JG37" s="214"/>
      <c r="JH37" s="214"/>
      <c r="JI37" s="214"/>
    </row>
    <row r="38" spans="1:269">
      <c r="A38" s="149" t="s">
        <v>96</v>
      </c>
      <c r="B38" s="152">
        <f t="shared" si="3"/>
        <v>71480.855159999992</v>
      </c>
      <c r="C38" s="152"/>
      <c r="D38" s="305">
        <f t="shared" si="4"/>
        <v>71480.86</v>
      </c>
      <c r="E38" s="214"/>
      <c r="F38" s="214"/>
      <c r="G38" s="227"/>
      <c r="H38" s="214"/>
      <c r="I38" s="214"/>
      <c r="J38" s="214"/>
      <c r="K38" s="214"/>
      <c r="L38" s="214"/>
      <c r="M38" s="214"/>
      <c r="N38" s="214"/>
      <c r="O38" s="214"/>
      <c r="P38" s="214"/>
      <c r="Q38" s="214"/>
      <c r="R38" s="214"/>
      <c r="S38" s="214"/>
      <c r="T38" s="214"/>
      <c r="U38" s="214"/>
      <c r="V38" s="214"/>
      <c r="W38" s="214"/>
      <c r="X38" s="214"/>
      <c r="Y38" s="214"/>
      <c r="Z38" s="214"/>
      <c r="AA38" s="214"/>
      <c r="AB38" s="214"/>
      <c r="AC38" s="214"/>
      <c r="AD38" s="214"/>
      <c r="AE38" s="214"/>
      <c r="AF38" s="214"/>
      <c r="AG38" s="214"/>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c r="CE38" s="214"/>
      <c r="CF38" s="214"/>
      <c r="CG38" s="214"/>
      <c r="CH38" s="214"/>
      <c r="CI38" s="214"/>
      <c r="CJ38" s="214"/>
      <c r="CK38" s="214"/>
      <c r="CL38" s="214"/>
      <c r="CM38" s="214"/>
      <c r="CN38" s="214"/>
      <c r="CO38" s="214"/>
      <c r="CP38" s="214"/>
      <c r="CQ38" s="214"/>
      <c r="CR38" s="214"/>
      <c r="CS38" s="214"/>
      <c r="CT38" s="214"/>
      <c r="CU38" s="214"/>
      <c r="CV38" s="214"/>
      <c r="CW38" s="214"/>
      <c r="CX38" s="214"/>
      <c r="CY38" s="214"/>
      <c r="CZ38" s="214"/>
      <c r="DA38" s="214"/>
      <c r="DB38" s="214"/>
      <c r="DC38" s="214"/>
      <c r="DD38" s="214"/>
      <c r="DE38" s="214"/>
      <c r="DF38" s="214"/>
      <c r="DG38" s="214"/>
      <c r="DH38" s="214"/>
      <c r="DI38" s="214"/>
      <c r="DJ38" s="214"/>
      <c r="DK38" s="214"/>
      <c r="DL38" s="214"/>
      <c r="DM38" s="214"/>
      <c r="DN38" s="214"/>
      <c r="DO38" s="214"/>
      <c r="DP38" s="214"/>
      <c r="DQ38" s="214"/>
      <c r="DR38" s="214"/>
      <c r="DS38" s="214"/>
      <c r="DT38" s="214"/>
      <c r="DU38" s="214"/>
      <c r="DV38" s="214"/>
      <c r="DW38" s="214"/>
      <c r="DX38" s="214"/>
      <c r="DY38" s="214"/>
      <c r="DZ38" s="214"/>
      <c r="EA38" s="214"/>
      <c r="EB38" s="214"/>
      <c r="EC38" s="214"/>
      <c r="ED38" s="214"/>
      <c r="EE38" s="214"/>
      <c r="EF38" s="214"/>
      <c r="EG38" s="214"/>
      <c r="EH38" s="214"/>
      <c r="EI38" s="214"/>
      <c r="EJ38" s="214"/>
      <c r="EK38" s="214"/>
      <c r="EL38" s="214"/>
      <c r="EM38" s="214"/>
      <c r="EN38" s="214"/>
      <c r="EO38" s="214"/>
      <c r="EP38" s="214"/>
      <c r="EQ38" s="214"/>
      <c r="ER38" s="214"/>
      <c r="ES38" s="214"/>
      <c r="ET38" s="214"/>
      <c r="EU38" s="214"/>
      <c r="EV38" s="214"/>
      <c r="EW38" s="214"/>
      <c r="EX38" s="214"/>
      <c r="EY38" s="214"/>
      <c r="EZ38" s="214"/>
      <c r="FA38" s="214"/>
      <c r="FB38" s="214"/>
      <c r="FC38" s="214"/>
      <c r="FD38" s="214"/>
      <c r="FE38" s="214"/>
      <c r="FF38" s="214"/>
      <c r="FG38" s="214"/>
      <c r="FH38" s="214"/>
      <c r="FI38" s="214"/>
      <c r="FJ38" s="214"/>
      <c r="FK38" s="214"/>
      <c r="FL38" s="214"/>
      <c r="FM38" s="214"/>
      <c r="FN38" s="214"/>
      <c r="FO38" s="214"/>
      <c r="FP38" s="214"/>
      <c r="FQ38" s="214"/>
      <c r="FR38" s="214"/>
      <c r="FS38" s="214"/>
      <c r="FT38" s="214"/>
      <c r="FU38" s="214"/>
      <c r="FV38" s="214"/>
      <c r="FW38" s="214"/>
      <c r="FX38" s="214"/>
      <c r="FY38" s="214"/>
      <c r="FZ38" s="214"/>
      <c r="GA38" s="214"/>
      <c r="GB38" s="214"/>
      <c r="GC38" s="214"/>
      <c r="GD38" s="214"/>
      <c r="GE38" s="214"/>
      <c r="GF38" s="214"/>
      <c r="GG38" s="214"/>
      <c r="GH38" s="214"/>
      <c r="GI38" s="214"/>
      <c r="GJ38" s="214"/>
      <c r="GK38" s="214"/>
      <c r="GL38" s="214"/>
      <c r="GM38" s="214"/>
      <c r="GN38" s="214"/>
      <c r="GO38" s="214"/>
      <c r="GP38" s="214"/>
      <c r="GQ38" s="214"/>
      <c r="GR38" s="214"/>
      <c r="GS38" s="214"/>
      <c r="GT38" s="214"/>
      <c r="GU38" s="214"/>
      <c r="GV38" s="214"/>
      <c r="GW38" s="214"/>
      <c r="GX38" s="214"/>
      <c r="GY38" s="214"/>
      <c r="GZ38" s="214"/>
      <c r="HA38" s="214"/>
      <c r="HB38" s="214"/>
      <c r="HC38" s="214"/>
      <c r="HD38" s="214"/>
      <c r="HE38" s="214"/>
      <c r="HF38" s="214"/>
      <c r="HG38" s="214"/>
      <c r="HH38" s="214"/>
      <c r="HI38" s="214"/>
      <c r="HJ38" s="214"/>
      <c r="HK38" s="214"/>
      <c r="HL38" s="214"/>
      <c r="HM38" s="214"/>
      <c r="HN38" s="214"/>
      <c r="HO38" s="214"/>
      <c r="HP38" s="214"/>
      <c r="HQ38" s="214"/>
      <c r="HR38" s="214"/>
      <c r="HS38" s="214"/>
      <c r="HT38" s="214"/>
      <c r="HU38" s="214"/>
      <c r="HV38" s="214"/>
      <c r="HW38" s="214"/>
      <c r="HX38" s="214"/>
      <c r="HY38" s="214"/>
      <c r="HZ38" s="214"/>
      <c r="IA38" s="214"/>
      <c r="IB38" s="214"/>
      <c r="IC38" s="214"/>
      <c r="ID38" s="214"/>
      <c r="IE38" s="214"/>
      <c r="IF38" s="214"/>
      <c r="IG38" s="214"/>
      <c r="IH38" s="214"/>
      <c r="II38" s="214"/>
      <c r="IJ38" s="214"/>
      <c r="IK38" s="214"/>
      <c r="IL38" s="214"/>
      <c r="IM38" s="214"/>
      <c r="IN38" s="214"/>
      <c r="IO38" s="214"/>
      <c r="IP38" s="214"/>
      <c r="IQ38" s="214"/>
      <c r="IR38" s="214"/>
      <c r="IS38" s="214"/>
      <c r="IT38" s="214"/>
      <c r="IU38" s="214"/>
      <c r="IV38" s="214"/>
      <c r="IW38" s="214"/>
      <c r="IX38" s="214"/>
      <c r="IY38" s="214"/>
      <c r="IZ38" s="214"/>
      <c r="JA38" s="214"/>
      <c r="JB38" s="214"/>
      <c r="JC38" s="214"/>
      <c r="JD38" s="214"/>
      <c r="JE38" s="214"/>
      <c r="JF38" s="214"/>
      <c r="JG38" s="214"/>
      <c r="JH38" s="214"/>
      <c r="JI38" s="214"/>
    </row>
    <row r="39" spans="1:269">
      <c r="A39" s="149" t="s">
        <v>97</v>
      </c>
      <c r="B39" s="152">
        <f t="shared" si="3"/>
        <v>229528.26863999999</v>
      </c>
      <c r="C39" s="152"/>
      <c r="D39" s="305">
        <f t="shared" si="4"/>
        <v>229528.27</v>
      </c>
      <c r="E39" s="214"/>
      <c r="F39" s="214"/>
      <c r="G39" s="227"/>
      <c r="H39" s="214"/>
      <c r="I39" s="214"/>
      <c r="J39" s="214"/>
      <c r="K39" s="214"/>
      <c r="L39" s="214"/>
      <c r="M39" s="214"/>
      <c r="N39" s="214"/>
      <c r="O39" s="214"/>
      <c r="P39" s="214"/>
      <c r="Q39" s="214"/>
      <c r="R39" s="214"/>
      <c r="S39" s="214"/>
      <c r="T39" s="214"/>
      <c r="U39" s="214"/>
      <c r="V39" s="214"/>
      <c r="W39" s="214"/>
      <c r="X39" s="214"/>
      <c r="Y39" s="214"/>
      <c r="Z39" s="214"/>
      <c r="AA39" s="214"/>
      <c r="AB39" s="214"/>
      <c r="AC39" s="214"/>
      <c r="AD39" s="214"/>
      <c r="AE39" s="214"/>
      <c r="AF39" s="214"/>
      <c r="AG39" s="214"/>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c r="BY39" s="214"/>
      <c r="BZ39" s="214"/>
      <c r="CA39" s="214"/>
      <c r="CB39" s="214"/>
      <c r="CC39" s="214"/>
      <c r="CD39" s="214"/>
      <c r="CE39" s="214"/>
      <c r="CF39" s="214"/>
      <c r="CG39" s="214"/>
      <c r="CH39" s="214"/>
      <c r="CI39" s="214"/>
      <c r="CJ39" s="214"/>
      <c r="CK39" s="214"/>
      <c r="CL39" s="214"/>
      <c r="CM39" s="214"/>
      <c r="CN39" s="214"/>
      <c r="CO39" s="214"/>
      <c r="CP39" s="214"/>
      <c r="CQ39" s="214"/>
      <c r="CR39" s="214"/>
      <c r="CS39" s="214"/>
      <c r="CT39" s="214"/>
      <c r="CU39" s="214"/>
      <c r="CV39" s="214"/>
      <c r="CW39" s="214"/>
      <c r="CX39" s="214"/>
      <c r="CY39" s="214"/>
      <c r="CZ39" s="214"/>
      <c r="DA39" s="214"/>
      <c r="DB39" s="214"/>
      <c r="DC39" s="214"/>
      <c r="DD39" s="214"/>
      <c r="DE39" s="214"/>
      <c r="DF39" s="214"/>
      <c r="DG39" s="214"/>
      <c r="DH39" s="214"/>
      <c r="DI39" s="214"/>
      <c r="DJ39" s="214"/>
      <c r="DK39" s="214"/>
      <c r="DL39" s="214"/>
      <c r="DM39" s="214"/>
      <c r="DN39" s="214"/>
      <c r="DO39" s="214"/>
      <c r="DP39" s="214"/>
      <c r="DQ39" s="214"/>
      <c r="DR39" s="214"/>
      <c r="DS39" s="214"/>
      <c r="DT39" s="214"/>
      <c r="DU39" s="214"/>
      <c r="DV39" s="214"/>
      <c r="DW39" s="214"/>
      <c r="DX39" s="214"/>
      <c r="DY39" s="214"/>
      <c r="DZ39" s="214"/>
      <c r="EA39" s="214"/>
      <c r="EB39" s="214"/>
      <c r="EC39" s="214"/>
      <c r="ED39" s="214"/>
      <c r="EE39" s="214"/>
      <c r="EF39" s="214"/>
      <c r="EG39" s="214"/>
      <c r="EH39" s="214"/>
      <c r="EI39" s="214"/>
      <c r="EJ39" s="214"/>
      <c r="EK39" s="214"/>
      <c r="EL39" s="214"/>
      <c r="EM39" s="214"/>
      <c r="EN39" s="214"/>
      <c r="EO39" s="214"/>
      <c r="EP39" s="214"/>
      <c r="EQ39" s="214"/>
      <c r="ER39" s="214"/>
      <c r="ES39" s="214"/>
      <c r="ET39" s="214"/>
      <c r="EU39" s="214"/>
      <c r="EV39" s="214"/>
      <c r="EW39" s="214"/>
      <c r="EX39" s="214"/>
      <c r="EY39" s="214"/>
      <c r="EZ39" s="214"/>
      <c r="FA39" s="214"/>
      <c r="FB39" s="214"/>
      <c r="FC39" s="214"/>
      <c r="FD39" s="214"/>
      <c r="FE39" s="214"/>
      <c r="FF39" s="214"/>
      <c r="FG39" s="214"/>
      <c r="FH39" s="214"/>
      <c r="FI39" s="214"/>
      <c r="FJ39" s="214"/>
      <c r="FK39" s="214"/>
      <c r="FL39" s="214"/>
      <c r="FM39" s="214"/>
      <c r="FN39" s="214"/>
      <c r="FO39" s="214"/>
      <c r="FP39" s="214"/>
      <c r="FQ39" s="214"/>
      <c r="FR39" s="214"/>
      <c r="FS39" s="214"/>
      <c r="FT39" s="214"/>
      <c r="FU39" s="214"/>
      <c r="FV39" s="214"/>
      <c r="FW39" s="214"/>
      <c r="FX39" s="214"/>
      <c r="FY39" s="214"/>
      <c r="FZ39" s="214"/>
      <c r="GA39" s="214"/>
      <c r="GB39" s="214"/>
      <c r="GC39" s="214"/>
      <c r="GD39" s="214"/>
      <c r="GE39" s="214"/>
      <c r="GF39" s="214"/>
      <c r="GG39" s="214"/>
      <c r="GH39" s="214"/>
      <c r="GI39" s="214"/>
      <c r="GJ39" s="214"/>
      <c r="GK39" s="214"/>
      <c r="GL39" s="214"/>
      <c r="GM39" s="214"/>
      <c r="GN39" s="214"/>
      <c r="GO39" s="214"/>
      <c r="GP39" s="214"/>
      <c r="GQ39" s="214"/>
      <c r="GR39" s="214"/>
      <c r="GS39" s="214"/>
      <c r="GT39" s="214"/>
      <c r="GU39" s="214"/>
      <c r="GV39" s="214"/>
      <c r="GW39" s="214"/>
      <c r="GX39" s="214"/>
      <c r="GY39" s="214"/>
      <c r="GZ39" s="214"/>
      <c r="HA39" s="214"/>
      <c r="HB39" s="214"/>
      <c r="HC39" s="214"/>
      <c r="HD39" s="214"/>
      <c r="HE39" s="214"/>
      <c r="HF39" s="214"/>
      <c r="HG39" s="214"/>
      <c r="HH39" s="214"/>
      <c r="HI39" s="214"/>
      <c r="HJ39" s="214"/>
      <c r="HK39" s="214"/>
      <c r="HL39" s="214"/>
      <c r="HM39" s="214"/>
      <c r="HN39" s="214"/>
      <c r="HO39" s="214"/>
      <c r="HP39" s="214"/>
      <c r="HQ39" s="214"/>
      <c r="HR39" s="214"/>
      <c r="HS39" s="214"/>
      <c r="HT39" s="214"/>
      <c r="HU39" s="214"/>
      <c r="HV39" s="214"/>
      <c r="HW39" s="214"/>
      <c r="HX39" s="214"/>
      <c r="HY39" s="214"/>
      <c r="HZ39" s="214"/>
      <c r="IA39" s="214"/>
      <c r="IB39" s="214"/>
      <c r="IC39" s="214"/>
      <c r="ID39" s="214"/>
      <c r="IE39" s="214"/>
      <c r="IF39" s="214"/>
      <c r="IG39" s="214"/>
      <c r="IH39" s="214"/>
      <c r="II39" s="214"/>
      <c r="IJ39" s="214"/>
      <c r="IK39" s="214"/>
      <c r="IL39" s="214"/>
      <c r="IM39" s="214"/>
      <c r="IN39" s="214"/>
      <c r="IO39" s="214"/>
      <c r="IP39" s="214"/>
      <c r="IQ39" s="214"/>
      <c r="IR39" s="214"/>
      <c r="IS39" s="214"/>
      <c r="IT39" s="214"/>
      <c r="IU39" s="214"/>
      <c r="IV39" s="214"/>
      <c r="IW39" s="214"/>
      <c r="IX39" s="214"/>
      <c r="IY39" s="214"/>
      <c r="IZ39" s="214"/>
      <c r="JA39" s="214"/>
      <c r="JB39" s="214"/>
      <c r="JC39" s="214"/>
      <c r="JD39" s="214"/>
      <c r="JE39" s="214"/>
      <c r="JF39" s="214"/>
      <c r="JG39" s="214"/>
      <c r="JH39" s="214"/>
      <c r="JI39" s="214"/>
    </row>
    <row r="40" spans="1:269">
      <c r="A40" s="149" t="s">
        <v>98</v>
      </c>
      <c r="B40" s="152">
        <f t="shared" si="3"/>
        <v>790942.00679999997</v>
      </c>
      <c r="C40" s="152"/>
      <c r="D40" s="305">
        <f t="shared" si="4"/>
        <v>790942.01</v>
      </c>
      <c r="E40" s="214"/>
      <c r="F40" s="214"/>
      <c r="G40" s="227"/>
      <c r="H40" s="214"/>
      <c r="I40" s="214"/>
      <c r="J40" s="214"/>
      <c r="K40" s="214"/>
      <c r="L40" s="214"/>
      <c r="M40" s="214"/>
      <c r="N40" s="214"/>
      <c r="O40" s="214"/>
      <c r="P40" s="214"/>
      <c r="Q40" s="214"/>
      <c r="R40" s="214"/>
      <c r="S40" s="214"/>
      <c r="T40" s="214"/>
      <c r="U40" s="214"/>
      <c r="V40" s="214"/>
      <c r="W40" s="214"/>
      <c r="X40" s="214"/>
      <c r="Y40" s="214"/>
      <c r="Z40" s="214"/>
      <c r="AA40" s="214"/>
      <c r="AB40" s="214"/>
      <c r="AC40" s="214"/>
      <c r="AD40" s="214"/>
      <c r="AE40" s="214"/>
      <c r="AF40" s="214"/>
      <c r="AG40" s="214"/>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c r="CG40" s="214"/>
      <c r="CH40" s="214"/>
      <c r="CI40" s="214"/>
      <c r="CJ40" s="214"/>
      <c r="CK40" s="214"/>
      <c r="CL40" s="214"/>
      <c r="CM40" s="214"/>
      <c r="CN40" s="214"/>
      <c r="CO40" s="214"/>
      <c r="CP40" s="214"/>
      <c r="CQ40" s="214"/>
      <c r="CR40" s="214"/>
      <c r="CS40" s="214"/>
      <c r="CT40" s="214"/>
      <c r="CU40" s="214"/>
      <c r="CV40" s="214"/>
      <c r="CW40" s="214"/>
      <c r="CX40" s="214"/>
      <c r="CY40" s="214"/>
      <c r="CZ40" s="214"/>
      <c r="DA40" s="214"/>
      <c r="DB40" s="214"/>
      <c r="DC40" s="214"/>
      <c r="DD40" s="214"/>
      <c r="DE40" s="214"/>
      <c r="DF40" s="214"/>
      <c r="DG40" s="214"/>
      <c r="DH40" s="214"/>
      <c r="DI40" s="214"/>
      <c r="DJ40" s="214"/>
      <c r="DK40" s="214"/>
      <c r="DL40" s="214"/>
      <c r="DM40" s="214"/>
      <c r="DN40" s="214"/>
      <c r="DO40" s="214"/>
      <c r="DP40" s="214"/>
      <c r="DQ40" s="214"/>
      <c r="DR40" s="214"/>
      <c r="DS40" s="214"/>
      <c r="DT40" s="214"/>
      <c r="DU40" s="214"/>
      <c r="DV40" s="214"/>
      <c r="DW40" s="214"/>
      <c r="DX40" s="214"/>
      <c r="DY40" s="214"/>
      <c r="DZ40" s="214"/>
      <c r="EA40" s="214"/>
      <c r="EB40" s="214"/>
      <c r="EC40" s="214"/>
      <c r="ED40" s="214"/>
      <c r="EE40" s="214"/>
      <c r="EF40" s="214"/>
      <c r="EG40" s="214"/>
      <c r="EH40" s="214"/>
      <c r="EI40" s="214"/>
      <c r="EJ40" s="214"/>
      <c r="EK40" s="214"/>
      <c r="EL40" s="214"/>
      <c r="EM40" s="214"/>
      <c r="EN40" s="214"/>
      <c r="EO40" s="214"/>
      <c r="EP40" s="214"/>
      <c r="EQ40" s="214"/>
      <c r="ER40" s="214"/>
      <c r="ES40" s="214"/>
      <c r="ET40" s="214"/>
      <c r="EU40" s="214"/>
      <c r="EV40" s="214"/>
      <c r="EW40" s="214"/>
      <c r="EX40" s="214"/>
      <c r="EY40" s="214"/>
      <c r="EZ40" s="214"/>
      <c r="FA40" s="214"/>
      <c r="FB40" s="214"/>
      <c r="FC40" s="214"/>
      <c r="FD40" s="214"/>
      <c r="FE40" s="214"/>
      <c r="FF40" s="214"/>
      <c r="FG40" s="214"/>
      <c r="FH40" s="214"/>
      <c r="FI40" s="214"/>
      <c r="FJ40" s="214"/>
      <c r="FK40" s="214"/>
      <c r="FL40" s="214"/>
      <c r="FM40" s="214"/>
      <c r="FN40" s="214"/>
      <c r="FO40" s="214"/>
      <c r="FP40" s="214"/>
      <c r="FQ40" s="214"/>
      <c r="FR40" s="214"/>
      <c r="FS40" s="214"/>
      <c r="FT40" s="214"/>
      <c r="FU40" s="214"/>
      <c r="FV40" s="214"/>
      <c r="FW40" s="214"/>
      <c r="FX40" s="214"/>
      <c r="FY40" s="214"/>
      <c r="FZ40" s="214"/>
      <c r="GA40" s="214"/>
      <c r="GB40" s="214"/>
      <c r="GC40" s="214"/>
      <c r="GD40" s="214"/>
      <c r="GE40" s="214"/>
      <c r="GF40" s="214"/>
      <c r="GG40" s="214"/>
      <c r="GH40" s="214"/>
      <c r="GI40" s="214"/>
      <c r="GJ40" s="214"/>
      <c r="GK40" s="214"/>
      <c r="GL40" s="214"/>
      <c r="GM40" s="214"/>
      <c r="GN40" s="214"/>
      <c r="GO40" s="214"/>
      <c r="GP40" s="214"/>
      <c r="GQ40" s="214"/>
      <c r="GR40" s="214"/>
      <c r="GS40" s="214"/>
      <c r="GT40" s="214"/>
      <c r="GU40" s="214"/>
      <c r="GV40" s="214"/>
      <c r="GW40" s="214"/>
      <c r="GX40" s="214"/>
      <c r="GY40" s="214"/>
      <c r="GZ40" s="214"/>
      <c r="HA40" s="214"/>
      <c r="HB40" s="214"/>
      <c r="HC40" s="214"/>
      <c r="HD40" s="214"/>
      <c r="HE40" s="214"/>
      <c r="HF40" s="214"/>
      <c r="HG40" s="214"/>
      <c r="HH40" s="214"/>
      <c r="HI40" s="214"/>
      <c r="HJ40" s="214"/>
      <c r="HK40" s="214"/>
      <c r="HL40" s="214"/>
      <c r="HM40" s="214"/>
      <c r="HN40" s="214"/>
      <c r="HO40" s="214"/>
      <c r="HP40" s="214"/>
      <c r="HQ40" s="214"/>
      <c r="HR40" s="214"/>
      <c r="HS40" s="214"/>
      <c r="HT40" s="214"/>
      <c r="HU40" s="214"/>
      <c r="HV40" s="214"/>
      <c r="HW40" s="214"/>
      <c r="HX40" s="214"/>
      <c r="HY40" s="214"/>
      <c r="HZ40" s="214"/>
      <c r="IA40" s="214"/>
      <c r="IB40" s="214"/>
      <c r="IC40" s="214"/>
      <c r="ID40" s="214"/>
      <c r="IE40" s="214"/>
      <c r="IF40" s="214"/>
      <c r="IG40" s="214"/>
      <c r="IH40" s="214"/>
      <c r="II40" s="214"/>
      <c r="IJ40" s="214"/>
      <c r="IK40" s="214"/>
      <c r="IL40" s="214"/>
      <c r="IM40" s="214"/>
      <c r="IN40" s="214"/>
      <c r="IO40" s="214"/>
      <c r="IP40" s="214"/>
      <c r="IQ40" s="214"/>
      <c r="IR40" s="214"/>
      <c r="IS40" s="214"/>
      <c r="IT40" s="214"/>
      <c r="IU40" s="214"/>
      <c r="IV40" s="214"/>
      <c r="IW40" s="214"/>
      <c r="IX40" s="214"/>
      <c r="IY40" s="214"/>
      <c r="IZ40" s="214"/>
      <c r="JA40" s="214"/>
      <c r="JB40" s="214"/>
      <c r="JC40" s="214"/>
      <c r="JD40" s="214"/>
      <c r="JE40" s="214"/>
      <c r="JF40" s="214"/>
      <c r="JG40" s="214"/>
      <c r="JH40" s="214"/>
      <c r="JI40" s="214"/>
    </row>
    <row r="41" spans="1:269">
      <c r="A41" s="149" t="s">
        <v>99</v>
      </c>
      <c r="B41" s="152">
        <f t="shared" si="3"/>
        <v>43142.291279999998</v>
      </c>
      <c r="C41" s="152"/>
      <c r="D41" s="305">
        <f t="shared" si="4"/>
        <v>43142.29</v>
      </c>
      <c r="E41" s="214"/>
      <c r="F41" s="214"/>
      <c r="G41" s="227"/>
      <c r="H41" s="214"/>
      <c r="I41" s="214"/>
      <c r="J41" s="214"/>
      <c r="K41" s="214"/>
      <c r="L41" s="214"/>
      <c r="M41" s="214"/>
      <c r="N41" s="214"/>
      <c r="O41" s="214"/>
      <c r="P41" s="214"/>
      <c r="Q41" s="214"/>
      <c r="R41" s="214"/>
      <c r="S41" s="214"/>
      <c r="T41" s="214"/>
      <c r="U41" s="214"/>
      <c r="V41" s="214"/>
      <c r="W41" s="214"/>
      <c r="X41" s="214"/>
      <c r="Y41" s="214"/>
      <c r="Z41" s="214"/>
      <c r="AA41" s="214"/>
      <c r="AB41" s="214"/>
      <c r="AC41" s="214"/>
      <c r="AD41" s="214"/>
      <c r="AE41" s="214"/>
      <c r="AF41" s="214"/>
      <c r="AG41" s="214"/>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c r="CG41" s="214"/>
      <c r="CH41" s="214"/>
      <c r="CI41" s="214"/>
      <c r="CJ41" s="214"/>
      <c r="CK41" s="214"/>
      <c r="CL41" s="214"/>
      <c r="CM41" s="214"/>
      <c r="CN41" s="214"/>
      <c r="CO41" s="214"/>
      <c r="CP41" s="214"/>
      <c r="CQ41" s="214"/>
      <c r="CR41" s="214"/>
      <c r="CS41" s="214"/>
      <c r="CT41" s="214"/>
      <c r="CU41" s="214"/>
      <c r="CV41" s="214"/>
      <c r="CW41" s="214"/>
      <c r="CX41" s="214"/>
      <c r="CY41" s="214"/>
      <c r="CZ41" s="214"/>
      <c r="DA41" s="214"/>
      <c r="DB41" s="214"/>
      <c r="DC41" s="214"/>
      <c r="DD41" s="214"/>
      <c r="DE41" s="214"/>
      <c r="DF41" s="214"/>
      <c r="DG41" s="214"/>
      <c r="DH41" s="214"/>
      <c r="DI41" s="214"/>
      <c r="DJ41" s="214"/>
      <c r="DK41" s="214"/>
      <c r="DL41" s="214"/>
      <c r="DM41" s="214"/>
      <c r="DN41" s="214"/>
      <c r="DO41" s="214"/>
      <c r="DP41" s="214"/>
      <c r="DQ41" s="214"/>
      <c r="DR41" s="214"/>
      <c r="DS41" s="214"/>
      <c r="DT41" s="214"/>
      <c r="DU41" s="214"/>
      <c r="DV41" s="214"/>
      <c r="DW41" s="214"/>
      <c r="DX41" s="214"/>
      <c r="DY41" s="214"/>
      <c r="DZ41" s="214"/>
      <c r="EA41" s="214"/>
      <c r="EB41" s="214"/>
      <c r="EC41" s="214"/>
      <c r="ED41" s="214"/>
      <c r="EE41" s="214"/>
      <c r="EF41" s="214"/>
      <c r="EG41" s="214"/>
      <c r="EH41" s="214"/>
      <c r="EI41" s="214"/>
      <c r="EJ41" s="214"/>
      <c r="EK41" s="214"/>
      <c r="EL41" s="214"/>
      <c r="EM41" s="214"/>
      <c r="EN41" s="214"/>
      <c r="EO41" s="214"/>
      <c r="EP41" s="214"/>
      <c r="EQ41" s="214"/>
      <c r="ER41" s="214"/>
      <c r="ES41" s="214"/>
      <c r="ET41" s="214"/>
      <c r="EU41" s="214"/>
      <c r="EV41" s="214"/>
      <c r="EW41" s="214"/>
      <c r="EX41" s="214"/>
      <c r="EY41" s="214"/>
      <c r="EZ41" s="214"/>
      <c r="FA41" s="214"/>
      <c r="FB41" s="214"/>
      <c r="FC41" s="214"/>
      <c r="FD41" s="214"/>
      <c r="FE41" s="214"/>
      <c r="FF41" s="214"/>
      <c r="FG41" s="214"/>
      <c r="FH41" s="214"/>
      <c r="FI41" s="214"/>
      <c r="FJ41" s="214"/>
      <c r="FK41" s="214"/>
      <c r="FL41" s="214"/>
      <c r="FM41" s="214"/>
      <c r="FN41" s="214"/>
      <c r="FO41" s="214"/>
      <c r="FP41" s="214"/>
      <c r="FQ41" s="214"/>
      <c r="FR41" s="214"/>
      <c r="FS41" s="214"/>
      <c r="FT41" s="214"/>
      <c r="FU41" s="214"/>
      <c r="FV41" s="214"/>
      <c r="FW41" s="214"/>
      <c r="FX41" s="214"/>
      <c r="FY41" s="214"/>
      <c r="FZ41" s="214"/>
      <c r="GA41" s="214"/>
      <c r="GB41" s="214"/>
      <c r="GC41" s="214"/>
      <c r="GD41" s="214"/>
      <c r="GE41" s="214"/>
      <c r="GF41" s="214"/>
      <c r="GG41" s="214"/>
      <c r="GH41" s="214"/>
      <c r="GI41" s="214"/>
      <c r="GJ41" s="214"/>
      <c r="GK41" s="214"/>
      <c r="GL41" s="214"/>
      <c r="GM41" s="214"/>
      <c r="GN41" s="214"/>
      <c r="GO41" s="214"/>
      <c r="GP41" s="214"/>
      <c r="GQ41" s="214"/>
      <c r="GR41" s="214"/>
      <c r="GS41" s="214"/>
      <c r="GT41" s="214"/>
      <c r="GU41" s="214"/>
      <c r="GV41" s="214"/>
      <c r="GW41" s="214"/>
      <c r="GX41" s="214"/>
      <c r="GY41" s="214"/>
      <c r="GZ41" s="214"/>
      <c r="HA41" s="214"/>
      <c r="HB41" s="214"/>
      <c r="HC41" s="214"/>
      <c r="HD41" s="214"/>
      <c r="HE41" s="214"/>
      <c r="HF41" s="214"/>
      <c r="HG41" s="214"/>
      <c r="HH41" s="214"/>
      <c r="HI41" s="214"/>
      <c r="HJ41" s="214"/>
      <c r="HK41" s="214"/>
      <c r="HL41" s="214"/>
      <c r="HM41" s="214"/>
      <c r="HN41" s="214"/>
      <c r="HO41" s="214"/>
      <c r="HP41" s="214"/>
      <c r="HQ41" s="214"/>
      <c r="HR41" s="214"/>
      <c r="HS41" s="214"/>
      <c r="HT41" s="214"/>
      <c r="HU41" s="214"/>
      <c r="HV41" s="214"/>
      <c r="HW41" s="214"/>
      <c r="HX41" s="214"/>
      <c r="HY41" s="214"/>
      <c r="HZ41" s="214"/>
      <c r="IA41" s="214"/>
      <c r="IB41" s="214"/>
      <c r="IC41" s="214"/>
      <c r="ID41" s="214"/>
      <c r="IE41" s="214"/>
      <c r="IF41" s="214"/>
      <c r="IG41" s="214"/>
      <c r="IH41" s="214"/>
      <c r="II41" s="214"/>
      <c r="IJ41" s="214"/>
      <c r="IK41" s="214"/>
      <c r="IL41" s="214"/>
      <c r="IM41" s="214"/>
      <c r="IN41" s="214"/>
      <c r="IO41" s="214"/>
      <c r="IP41" s="214"/>
      <c r="IQ41" s="214"/>
      <c r="IR41" s="214"/>
      <c r="IS41" s="214"/>
      <c r="IT41" s="214"/>
      <c r="IU41" s="214"/>
      <c r="IV41" s="214"/>
      <c r="IW41" s="214"/>
      <c r="IX41" s="214"/>
      <c r="IY41" s="214"/>
      <c r="IZ41" s="214"/>
      <c r="JA41" s="214"/>
      <c r="JB41" s="214"/>
      <c r="JC41" s="214"/>
      <c r="JD41" s="214"/>
      <c r="JE41" s="214"/>
      <c r="JF41" s="214"/>
      <c r="JG41" s="214"/>
      <c r="JH41" s="214"/>
      <c r="JI41" s="214"/>
    </row>
    <row r="42" spans="1:269">
      <c r="A42" s="149" t="s">
        <v>100</v>
      </c>
      <c r="B42" s="152">
        <f t="shared" si="3"/>
        <v>31440.297239999996</v>
      </c>
      <c r="C42" s="152"/>
      <c r="D42" s="305">
        <f t="shared" si="4"/>
        <v>31440.3</v>
      </c>
      <c r="E42" s="214"/>
      <c r="F42" s="214"/>
      <c r="G42" s="227"/>
      <c r="H42" s="214"/>
      <c r="I42" s="214"/>
      <c r="J42" s="214"/>
      <c r="K42" s="214"/>
      <c r="L42" s="214"/>
      <c r="M42" s="214"/>
      <c r="N42" s="214"/>
      <c r="O42" s="214"/>
      <c r="P42" s="214"/>
      <c r="Q42" s="214"/>
      <c r="R42" s="214"/>
      <c r="S42" s="214"/>
      <c r="T42" s="214"/>
      <c r="U42" s="214"/>
      <c r="V42" s="214"/>
      <c r="W42" s="214"/>
      <c r="X42" s="214"/>
      <c r="Y42" s="214"/>
      <c r="Z42" s="214"/>
      <c r="AA42" s="214"/>
      <c r="AB42" s="214"/>
      <c r="AC42" s="214"/>
      <c r="AD42" s="214"/>
      <c r="AE42" s="214"/>
      <c r="AF42" s="214"/>
      <c r="AG42" s="214"/>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c r="CG42" s="214"/>
      <c r="CH42" s="214"/>
      <c r="CI42" s="214"/>
      <c r="CJ42" s="214"/>
      <c r="CK42" s="214"/>
      <c r="CL42" s="214"/>
      <c r="CM42" s="214"/>
      <c r="CN42" s="214"/>
      <c r="CO42" s="214"/>
      <c r="CP42" s="214"/>
      <c r="CQ42" s="214"/>
      <c r="CR42" s="214"/>
      <c r="CS42" s="214"/>
      <c r="CT42" s="214"/>
      <c r="CU42" s="214"/>
      <c r="CV42" s="214"/>
      <c r="CW42" s="214"/>
      <c r="CX42" s="214"/>
      <c r="CY42" s="214"/>
      <c r="CZ42" s="214"/>
      <c r="DA42" s="214"/>
      <c r="DB42" s="214"/>
      <c r="DC42" s="214"/>
      <c r="DD42" s="214"/>
      <c r="DE42" s="214"/>
      <c r="DF42" s="214"/>
      <c r="DG42" s="214"/>
      <c r="DH42" s="214"/>
      <c r="DI42" s="214"/>
      <c r="DJ42" s="214"/>
      <c r="DK42" s="214"/>
      <c r="DL42" s="214"/>
      <c r="DM42" s="214"/>
      <c r="DN42" s="214"/>
      <c r="DO42" s="214"/>
      <c r="DP42" s="214"/>
      <c r="DQ42" s="214"/>
      <c r="DR42" s="214"/>
      <c r="DS42" s="214"/>
      <c r="DT42" s="214"/>
      <c r="DU42" s="214"/>
      <c r="DV42" s="214"/>
      <c r="DW42" s="214"/>
      <c r="DX42" s="214"/>
      <c r="DY42" s="214"/>
      <c r="DZ42" s="214"/>
      <c r="EA42" s="214"/>
      <c r="EB42" s="214"/>
      <c r="EC42" s="214"/>
      <c r="ED42" s="214"/>
      <c r="EE42" s="214"/>
      <c r="EF42" s="214"/>
      <c r="EG42" s="214"/>
      <c r="EH42" s="214"/>
      <c r="EI42" s="214"/>
      <c r="EJ42" s="214"/>
      <c r="EK42" s="214"/>
      <c r="EL42" s="214"/>
      <c r="EM42" s="214"/>
      <c r="EN42" s="214"/>
      <c r="EO42" s="214"/>
      <c r="EP42" s="214"/>
      <c r="EQ42" s="214"/>
      <c r="ER42" s="214"/>
      <c r="ES42" s="214"/>
      <c r="ET42" s="214"/>
      <c r="EU42" s="214"/>
      <c r="EV42" s="214"/>
      <c r="EW42" s="214"/>
      <c r="EX42" s="214"/>
      <c r="EY42" s="214"/>
      <c r="EZ42" s="214"/>
      <c r="FA42" s="214"/>
      <c r="FB42" s="214"/>
      <c r="FC42" s="214"/>
      <c r="FD42" s="214"/>
      <c r="FE42" s="214"/>
      <c r="FF42" s="214"/>
      <c r="FG42" s="214"/>
      <c r="FH42" s="214"/>
      <c r="FI42" s="214"/>
      <c r="FJ42" s="214"/>
      <c r="FK42" s="214"/>
      <c r="FL42" s="214"/>
      <c r="FM42" s="214"/>
      <c r="FN42" s="214"/>
      <c r="FO42" s="214"/>
      <c r="FP42" s="214"/>
      <c r="FQ42" s="214"/>
      <c r="FR42" s="214"/>
      <c r="FS42" s="214"/>
      <c r="FT42" s="214"/>
      <c r="FU42" s="214"/>
      <c r="FV42" s="214"/>
      <c r="FW42" s="214"/>
      <c r="FX42" s="214"/>
      <c r="FY42" s="214"/>
      <c r="FZ42" s="214"/>
      <c r="GA42" s="214"/>
      <c r="GB42" s="214"/>
      <c r="GC42" s="214"/>
      <c r="GD42" s="214"/>
      <c r="GE42" s="214"/>
      <c r="GF42" s="214"/>
      <c r="GG42" s="214"/>
      <c r="GH42" s="214"/>
      <c r="GI42" s="214"/>
      <c r="GJ42" s="214"/>
      <c r="GK42" s="214"/>
      <c r="GL42" s="214"/>
      <c r="GM42" s="214"/>
      <c r="GN42" s="214"/>
      <c r="GO42" s="214"/>
      <c r="GP42" s="214"/>
      <c r="GQ42" s="214"/>
      <c r="GR42" s="214"/>
      <c r="GS42" s="214"/>
      <c r="GT42" s="214"/>
      <c r="GU42" s="214"/>
      <c r="GV42" s="214"/>
      <c r="GW42" s="214"/>
      <c r="GX42" s="214"/>
      <c r="GY42" s="214"/>
      <c r="GZ42" s="214"/>
      <c r="HA42" s="214"/>
      <c r="HB42" s="214"/>
      <c r="HC42" s="214"/>
      <c r="HD42" s="214"/>
      <c r="HE42" s="214"/>
      <c r="HF42" s="214"/>
      <c r="HG42" s="214"/>
      <c r="HH42" s="214"/>
      <c r="HI42" s="214"/>
      <c r="HJ42" s="214"/>
      <c r="HK42" s="214"/>
      <c r="HL42" s="214"/>
      <c r="HM42" s="214"/>
      <c r="HN42" s="214"/>
      <c r="HO42" s="214"/>
      <c r="HP42" s="214"/>
      <c r="HQ42" s="214"/>
      <c r="HR42" s="214"/>
      <c r="HS42" s="214"/>
      <c r="HT42" s="214"/>
      <c r="HU42" s="214"/>
      <c r="HV42" s="214"/>
      <c r="HW42" s="214"/>
      <c r="HX42" s="214"/>
      <c r="HY42" s="214"/>
      <c r="HZ42" s="214"/>
      <c r="IA42" s="214"/>
      <c r="IB42" s="214"/>
      <c r="IC42" s="214"/>
      <c r="ID42" s="214"/>
      <c r="IE42" s="214"/>
      <c r="IF42" s="214"/>
      <c r="IG42" s="214"/>
      <c r="IH42" s="214"/>
      <c r="II42" s="214"/>
      <c r="IJ42" s="214"/>
      <c r="IK42" s="214"/>
      <c r="IL42" s="214"/>
      <c r="IM42" s="214"/>
      <c r="IN42" s="214"/>
      <c r="IO42" s="214"/>
      <c r="IP42" s="214"/>
      <c r="IQ42" s="214"/>
      <c r="IR42" s="214"/>
      <c r="IS42" s="214"/>
      <c r="IT42" s="214"/>
      <c r="IU42" s="214"/>
      <c r="IV42" s="214"/>
      <c r="IW42" s="214"/>
      <c r="IX42" s="214"/>
      <c r="IY42" s="214"/>
      <c r="IZ42" s="214"/>
      <c r="JA42" s="214"/>
      <c r="JB42" s="214"/>
      <c r="JC42" s="214"/>
      <c r="JD42" s="214"/>
      <c r="JE42" s="214"/>
      <c r="JF42" s="214"/>
      <c r="JG42" s="214"/>
      <c r="JH42" s="214"/>
      <c r="JI42" s="214"/>
    </row>
    <row r="43" spans="1:269">
      <c r="A43" s="149" t="s">
        <v>101</v>
      </c>
      <c r="B43" s="152">
        <f t="shared" si="3"/>
        <v>300445.17228</v>
      </c>
      <c r="C43" s="152"/>
      <c r="D43" s="305">
        <f t="shared" si="4"/>
        <v>300445.17</v>
      </c>
      <c r="E43" s="214"/>
      <c r="F43" s="214"/>
      <c r="G43" s="227"/>
      <c r="H43" s="214"/>
      <c r="I43" s="214"/>
      <c r="J43" s="214"/>
      <c r="K43" s="214"/>
      <c r="L43" s="214"/>
      <c r="M43" s="214"/>
      <c r="N43" s="214"/>
      <c r="O43" s="214"/>
      <c r="P43" s="214"/>
      <c r="Q43" s="214"/>
      <c r="R43" s="214"/>
      <c r="S43" s="214"/>
      <c r="T43" s="214"/>
      <c r="U43" s="214"/>
      <c r="V43" s="214"/>
      <c r="W43" s="214"/>
      <c r="X43" s="214"/>
      <c r="Y43" s="214"/>
      <c r="Z43" s="214"/>
      <c r="AA43" s="214"/>
      <c r="AB43" s="214"/>
      <c r="AC43" s="214"/>
      <c r="AD43" s="214"/>
      <c r="AE43" s="214"/>
      <c r="AF43" s="214"/>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c r="CG43" s="214"/>
      <c r="CH43" s="214"/>
      <c r="CI43" s="214"/>
      <c r="CJ43" s="214"/>
      <c r="CK43" s="214"/>
      <c r="CL43" s="214"/>
      <c r="CM43" s="214"/>
      <c r="CN43" s="214"/>
      <c r="CO43" s="214"/>
      <c r="CP43" s="214"/>
      <c r="CQ43" s="214"/>
      <c r="CR43" s="214"/>
      <c r="CS43" s="214"/>
      <c r="CT43" s="214"/>
      <c r="CU43" s="214"/>
      <c r="CV43" s="214"/>
      <c r="CW43" s="214"/>
      <c r="CX43" s="214"/>
      <c r="CY43" s="214"/>
      <c r="CZ43" s="214"/>
      <c r="DA43" s="214"/>
      <c r="DB43" s="214"/>
      <c r="DC43" s="214"/>
      <c r="DD43" s="214"/>
      <c r="DE43" s="214"/>
      <c r="DF43" s="214"/>
      <c r="DG43" s="214"/>
      <c r="DH43" s="214"/>
      <c r="DI43" s="214"/>
      <c r="DJ43" s="214"/>
      <c r="DK43" s="214"/>
      <c r="DL43" s="214"/>
      <c r="DM43" s="214"/>
      <c r="DN43" s="214"/>
      <c r="DO43" s="214"/>
      <c r="DP43" s="214"/>
      <c r="DQ43" s="214"/>
      <c r="DR43" s="214"/>
      <c r="DS43" s="214"/>
      <c r="DT43" s="214"/>
      <c r="DU43" s="214"/>
      <c r="DV43" s="214"/>
      <c r="DW43" s="214"/>
      <c r="DX43" s="214"/>
      <c r="DY43" s="214"/>
      <c r="DZ43" s="214"/>
      <c r="EA43" s="214"/>
      <c r="EB43" s="214"/>
      <c r="EC43" s="214"/>
      <c r="ED43" s="214"/>
      <c r="EE43" s="214"/>
      <c r="EF43" s="214"/>
      <c r="EG43" s="214"/>
      <c r="EH43" s="214"/>
      <c r="EI43" s="214"/>
      <c r="EJ43" s="214"/>
      <c r="EK43" s="214"/>
      <c r="EL43" s="214"/>
      <c r="EM43" s="214"/>
      <c r="EN43" s="214"/>
      <c r="EO43" s="214"/>
      <c r="EP43" s="214"/>
      <c r="EQ43" s="214"/>
      <c r="ER43" s="214"/>
      <c r="ES43" s="214"/>
      <c r="ET43" s="214"/>
      <c r="EU43" s="214"/>
      <c r="EV43" s="214"/>
      <c r="EW43" s="214"/>
      <c r="EX43" s="214"/>
      <c r="EY43" s="214"/>
      <c r="EZ43" s="214"/>
      <c r="FA43" s="214"/>
      <c r="FB43" s="214"/>
      <c r="FC43" s="214"/>
      <c r="FD43" s="214"/>
      <c r="FE43" s="214"/>
      <c r="FF43" s="214"/>
      <c r="FG43" s="214"/>
      <c r="FH43" s="214"/>
      <c r="FI43" s="214"/>
      <c r="FJ43" s="214"/>
      <c r="FK43" s="214"/>
      <c r="FL43" s="214"/>
      <c r="FM43" s="214"/>
      <c r="FN43" s="214"/>
      <c r="FO43" s="214"/>
      <c r="FP43" s="214"/>
      <c r="FQ43" s="214"/>
      <c r="FR43" s="214"/>
      <c r="FS43" s="214"/>
      <c r="FT43" s="214"/>
      <c r="FU43" s="214"/>
      <c r="FV43" s="214"/>
      <c r="FW43" s="214"/>
      <c r="FX43" s="214"/>
      <c r="FY43" s="214"/>
      <c r="FZ43" s="214"/>
      <c r="GA43" s="214"/>
      <c r="GB43" s="214"/>
      <c r="GC43" s="214"/>
      <c r="GD43" s="214"/>
      <c r="GE43" s="214"/>
      <c r="GF43" s="214"/>
      <c r="GG43" s="214"/>
      <c r="GH43" s="214"/>
      <c r="GI43" s="214"/>
      <c r="GJ43" s="214"/>
      <c r="GK43" s="214"/>
      <c r="GL43" s="214"/>
      <c r="GM43" s="214"/>
      <c r="GN43" s="214"/>
      <c r="GO43" s="214"/>
      <c r="GP43" s="214"/>
      <c r="GQ43" s="214"/>
      <c r="GR43" s="214"/>
      <c r="GS43" s="214"/>
      <c r="GT43" s="214"/>
      <c r="GU43" s="214"/>
      <c r="GV43" s="214"/>
      <c r="GW43" s="214"/>
      <c r="GX43" s="214"/>
      <c r="GY43" s="214"/>
      <c r="GZ43" s="214"/>
      <c r="HA43" s="214"/>
      <c r="HB43" s="214"/>
      <c r="HC43" s="214"/>
      <c r="HD43" s="214"/>
      <c r="HE43" s="214"/>
      <c r="HF43" s="214"/>
      <c r="HG43" s="214"/>
      <c r="HH43" s="214"/>
      <c r="HI43" s="214"/>
      <c r="HJ43" s="214"/>
      <c r="HK43" s="214"/>
      <c r="HL43" s="214"/>
      <c r="HM43" s="214"/>
      <c r="HN43" s="214"/>
      <c r="HO43" s="214"/>
      <c r="HP43" s="214"/>
      <c r="HQ43" s="214"/>
      <c r="HR43" s="214"/>
      <c r="HS43" s="214"/>
      <c r="HT43" s="214"/>
      <c r="HU43" s="214"/>
      <c r="HV43" s="214"/>
      <c r="HW43" s="214"/>
      <c r="HX43" s="214"/>
      <c r="HY43" s="214"/>
      <c r="HZ43" s="214"/>
      <c r="IA43" s="214"/>
      <c r="IB43" s="214"/>
      <c r="IC43" s="214"/>
      <c r="ID43" s="214"/>
      <c r="IE43" s="214"/>
      <c r="IF43" s="214"/>
      <c r="IG43" s="214"/>
      <c r="IH43" s="214"/>
      <c r="II43" s="214"/>
      <c r="IJ43" s="214"/>
      <c r="IK43" s="214"/>
      <c r="IL43" s="214"/>
      <c r="IM43" s="214"/>
      <c r="IN43" s="214"/>
      <c r="IO43" s="214"/>
      <c r="IP43" s="214"/>
      <c r="IQ43" s="214"/>
      <c r="IR43" s="214"/>
      <c r="IS43" s="214"/>
      <c r="IT43" s="214"/>
      <c r="IU43" s="214"/>
      <c r="IV43" s="214"/>
      <c r="IW43" s="214"/>
      <c r="IX43" s="214"/>
      <c r="IY43" s="214"/>
      <c r="IZ43" s="214"/>
      <c r="JA43" s="214"/>
      <c r="JB43" s="214"/>
      <c r="JC43" s="214"/>
      <c r="JD43" s="214"/>
      <c r="JE43" s="214"/>
      <c r="JF43" s="214"/>
      <c r="JG43" s="214"/>
      <c r="JH43" s="214"/>
      <c r="JI43" s="214"/>
    </row>
    <row r="44" spans="1:269">
      <c r="A44" s="149" t="s">
        <v>102</v>
      </c>
      <c r="B44" s="152">
        <f t="shared" si="3"/>
        <v>50755.636799999993</v>
      </c>
      <c r="C44" s="152"/>
      <c r="D44" s="305">
        <f t="shared" si="4"/>
        <v>50755.64</v>
      </c>
      <c r="E44" s="214"/>
      <c r="F44" s="214"/>
      <c r="G44" s="227"/>
      <c r="H44" s="214"/>
      <c r="I44" s="214"/>
      <c r="J44" s="214"/>
      <c r="K44" s="214"/>
      <c r="L44" s="214"/>
      <c r="M44" s="214"/>
      <c r="N44" s="214"/>
      <c r="O44" s="214"/>
      <c r="P44" s="214"/>
      <c r="Q44" s="214"/>
      <c r="R44" s="214"/>
      <c r="S44" s="214"/>
      <c r="T44" s="214"/>
      <c r="U44" s="214"/>
      <c r="V44" s="214"/>
      <c r="W44" s="214"/>
      <c r="X44" s="214"/>
      <c r="Y44" s="214"/>
      <c r="Z44" s="214"/>
      <c r="AA44" s="214"/>
      <c r="AB44" s="214"/>
      <c r="AC44" s="214"/>
      <c r="AD44" s="214"/>
      <c r="AE44" s="214"/>
      <c r="AF44" s="214"/>
      <c r="AG44" s="214"/>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c r="CG44" s="214"/>
      <c r="CH44" s="214"/>
      <c r="CI44" s="214"/>
      <c r="CJ44" s="214"/>
      <c r="CK44" s="214"/>
      <c r="CL44" s="214"/>
      <c r="CM44" s="214"/>
      <c r="CN44" s="214"/>
      <c r="CO44" s="214"/>
      <c r="CP44" s="214"/>
      <c r="CQ44" s="214"/>
      <c r="CR44" s="214"/>
      <c r="CS44" s="214"/>
      <c r="CT44" s="214"/>
      <c r="CU44" s="214"/>
      <c r="CV44" s="214"/>
      <c r="CW44" s="214"/>
      <c r="CX44" s="214"/>
      <c r="CY44" s="214"/>
      <c r="CZ44" s="214"/>
      <c r="DA44" s="214"/>
      <c r="DB44" s="214"/>
      <c r="DC44" s="214"/>
      <c r="DD44" s="214"/>
      <c r="DE44" s="214"/>
      <c r="DF44" s="214"/>
      <c r="DG44" s="214"/>
      <c r="DH44" s="214"/>
      <c r="DI44" s="214"/>
      <c r="DJ44" s="214"/>
      <c r="DK44" s="214"/>
      <c r="DL44" s="214"/>
      <c r="DM44" s="214"/>
      <c r="DN44" s="214"/>
      <c r="DO44" s="214"/>
      <c r="DP44" s="214"/>
      <c r="DQ44" s="214"/>
      <c r="DR44" s="214"/>
      <c r="DS44" s="214"/>
      <c r="DT44" s="214"/>
      <c r="DU44" s="214"/>
      <c r="DV44" s="214"/>
      <c r="DW44" s="214"/>
      <c r="DX44" s="214"/>
      <c r="DY44" s="214"/>
      <c r="DZ44" s="214"/>
      <c r="EA44" s="214"/>
      <c r="EB44" s="214"/>
      <c r="EC44" s="214"/>
      <c r="ED44" s="214"/>
      <c r="EE44" s="214"/>
      <c r="EF44" s="214"/>
      <c r="EG44" s="214"/>
      <c r="EH44" s="214"/>
      <c r="EI44" s="214"/>
      <c r="EJ44" s="214"/>
      <c r="EK44" s="214"/>
      <c r="EL44" s="214"/>
      <c r="EM44" s="214"/>
      <c r="EN44" s="214"/>
      <c r="EO44" s="214"/>
      <c r="EP44" s="214"/>
      <c r="EQ44" s="214"/>
      <c r="ER44" s="214"/>
      <c r="ES44" s="214"/>
      <c r="ET44" s="214"/>
      <c r="EU44" s="214"/>
      <c r="EV44" s="214"/>
      <c r="EW44" s="214"/>
      <c r="EX44" s="214"/>
      <c r="EY44" s="214"/>
      <c r="EZ44" s="214"/>
      <c r="FA44" s="214"/>
      <c r="FB44" s="214"/>
      <c r="FC44" s="214"/>
      <c r="FD44" s="214"/>
      <c r="FE44" s="214"/>
      <c r="FF44" s="214"/>
      <c r="FG44" s="214"/>
      <c r="FH44" s="214"/>
      <c r="FI44" s="214"/>
      <c r="FJ44" s="214"/>
      <c r="FK44" s="214"/>
      <c r="FL44" s="214"/>
      <c r="FM44" s="214"/>
      <c r="FN44" s="214"/>
      <c r="FO44" s="214"/>
      <c r="FP44" s="214"/>
      <c r="FQ44" s="214"/>
      <c r="FR44" s="214"/>
      <c r="FS44" s="214"/>
      <c r="FT44" s="214"/>
      <c r="FU44" s="214"/>
      <c r="FV44" s="214"/>
      <c r="FW44" s="214"/>
      <c r="FX44" s="214"/>
      <c r="FY44" s="214"/>
      <c r="FZ44" s="214"/>
      <c r="GA44" s="214"/>
      <c r="GB44" s="214"/>
      <c r="GC44" s="214"/>
      <c r="GD44" s="214"/>
      <c r="GE44" s="214"/>
      <c r="GF44" s="214"/>
      <c r="GG44" s="214"/>
      <c r="GH44" s="214"/>
      <c r="GI44" s="214"/>
      <c r="GJ44" s="214"/>
      <c r="GK44" s="214"/>
      <c r="GL44" s="214"/>
      <c r="GM44" s="214"/>
      <c r="GN44" s="214"/>
      <c r="GO44" s="214"/>
      <c r="GP44" s="214"/>
      <c r="GQ44" s="214"/>
      <c r="GR44" s="214"/>
      <c r="GS44" s="214"/>
      <c r="GT44" s="214"/>
      <c r="GU44" s="214"/>
      <c r="GV44" s="214"/>
      <c r="GW44" s="214"/>
      <c r="GX44" s="214"/>
      <c r="GY44" s="214"/>
      <c r="GZ44" s="214"/>
      <c r="HA44" s="214"/>
      <c r="HB44" s="214"/>
      <c r="HC44" s="214"/>
      <c r="HD44" s="214"/>
      <c r="HE44" s="214"/>
      <c r="HF44" s="214"/>
      <c r="HG44" s="214"/>
      <c r="HH44" s="214"/>
      <c r="HI44" s="214"/>
      <c r="HJ44" s="214"/>
      <c r="HK44" s="214"/>
      <c r="HL44" s="214"/>
      <c r="HM44" s="214"/>
      <c r="HN44" s="214"/>
      <c r="HO44" s="214"/>
      <c r="HP44" s="214"/>
      <c r="HQ44" s="214"/>
      <c r="HR44" s="214"/>
      <c r="HS44" s="214"/>
      <c r="HT44" s="214"/>
      <c r="HU44" s="214"/>
      <c r="HV44" s="214"/>
      <c r="HW44" s="214"/>
      <c r="HX44" s="214"/>
      <c r="HY44" s="214"/>
      <c r="HZ44" s="214"/>
      <c r="IA44" s="214"/>
      <c r="IB44" s="214"/>
      <c r="IC44" s="214"/>
      <c r="ID44" s="214"/>
      <c r="IE44" s="214"/>
      <c r="IF44" s="214"/>
      <c r="IG44" s="214"/>
      <c r="IH44" s="214"/>
      <c r="II44" s="214"/>
      <c r="IJ44" s="214"/>
      <c r="IK44" s="214"/>
      <c r="IL44" s="214"/>
      <c r="IM44" s="214"/>
      <c r="IN44" s="214"/>
      <c r="IO44" s="214"/>
      <c r="IP44" s="214"/>
      <c r="IQ44" s="214"/>
      <c r="IR44" s="214"/>
      <c r="IS44" s="214"/>
      <c r="IT44" s="214"/>
      <c r="IU44" s="214"/>
      <c r="IV44" s="214"/>
      <c r="IW44" s="214"/>
      <c r="IX44" s="214"/>
      <c r="IY44" s="214"/>
      <c r="IZ44" s="214"/>
      <c r="JA44" s="214"/>
      <c r="JB44" s="214"/>
      <c r="JC44" s="214"/>
      <c r="JD44" s="214"/>
      <c r="JE44" s="214"/>
      <c r="JF44" s="214"/>
      <c r="JG44" s="214"/>
      <c r="JH44" s="214"/>
      <c r="JI44" s="214"/>
    </row>
    <row r="45" spans="1:269">
      <c r="A45" s="149" t="s">
        <v>103</v>
      </c>
      <c r="B45" s="152">
        <f t="shared" si="3"/>
        <v>252791.26883999998</v>
      </c>
      <c r="C45" s="152"/>
      <c r="D45" s="305">
        <f t="shared" si="4"/>
        <v>252791.27</v>
      </c>
      <c r="E45" s="214"/>
      <c r="F45" s="214"/>
      <c r="G45" s="227"/>
      <c r="H45" s="214"/>
      <c r="I45" s="214"/>
      <c r="J45" s="214"/>
      <c r="K45" s="214"/>
      <c r="L45" s="214"/>
      <c r="M45" s="214"/>
      <c r="N45" s="214"/>
      <c r="O45" s="214"/>
      <c r="P45" s="214"/>
      <c r="Q45" s="214"/>
      <c r="R45" s="214"/>
      <c r="S45" s="214"/>
      <c r="T45" s="214"/>
      <c r="U45" s="214"/>
      <c r="V45" s="214"/>
      <c r="W45" s="214"/>
      <c r="X45" s="214"/>
      <c r="Y45" s="214"/>
      <c r="Z45" s="214"/>
      <c r="AA45" s="214"/>
      <c r="AB45" s="214"/>
      <c r="AC45" s="214"/>
      <c r="AD45" s="214"/>
      <c r="AE45" s="214"/>
      <c r="AF45" s="214"/>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c r="CG45" s="214"/>
      <c r="CH45" s="214"/>
      <c r="CI45" s="214"/>
      <c r="CJ45" s="214"/>
      <c r="CK45" s="214"/>
      <c r="CL45" s="214"/>
      <c r="CM45" s="214"/>
      <c r="CN45" s="214"/>
      <c r="CO45" s="214"/>
      <c r="CP45" s="214"/>
      <c r="CQ45" s="214"/>
      <c r="CR45" s="214"/>
      <c r="CS45" s="214"/>
      <c r="CT45" s="214"/>
      <c r="CU45" s="214"/>
      <c r="CV45" s="214"/>
      <c r="CW45" s="214"/>
      <c r="CX45" s="214"/>
      <c r="CY45" s="214"/>
      <c r="CZ45" s="214"/>
      <c r="DA45" s="214"/>
      <c r="DB45" s="214"/>
      <c r="DC45" s="214"/>
      <c r="DD45" s="214"/>
      <c r="DE45" s="214"/>
      <c r="DF45" s="214"/>
      <c r="DG45" s="214"/>
      <c r="DH45" s="214"/>
      <c r="DI45" s="214"/>
      <c r="DJ45" s="214"/>
      <c r="DK45" s="214"/>
      <c r="DL45" s="214"/>
      <c r="DM45" s="214"/>
      <c r="DN45" s="214"/>
      <c r="DO45" s="214"/>
      <c r="DP45" s="214"/>
      <c r="DQ45" s="214"/>
      <c r="DR45" s="214"/>
      <c r="DS45" s="214"/>
      <c r="DT45" s="214"/>
      <c r="DU45" s="214"/>
      <c r="DV45" s="214"/>
      <c r="DW45" s="214"/>
      <c r="DX45" s="214"/>
      <c r="DY45" s="214"/>
      <c r="DZ45" s="214"/>
      <c r="EA45" s="214"/>
      <c r="EB45" s="214"/>
      <c r="EC45" s="214"/>
      <c r="ED45" s="214"/>
      <c r="EE45" s="214"/>
      <c r="EF45" s="214"/>
      <c r="EG45" s="214"/>
      <c r="EH45" s="214"/>
      <c r="EI45" s="214"/>
      <c r="EJ45" s="214"/>
      <c r="EK45" s="214"/>
      <c r="EL45" s="214"/>
      <c r="EM45" s="214"/>
      <c r="EN45" s="214"/>
      <c r="EO45" s="214"/>
      <c r="EP45" s="214"/>
      <c r="EQ45" s="214"/>
      <c r="ER45" s="214"/>
      <c r="ES45" s="214"/>
      <c r="ET45" s="214"/>
      <c r="EU45" s="214"/>
      <c r="EV45" s="214"/>
      <c r="EW45" s="214"/>
      <c r="EX45" s="214"/>
      <c r="EY45" s="214"/>
      <c r="EZ45" s="214"/>
      <c r="FA45" s="214"/>
      <c r="FB45" s="214"/>
      <c r="FC45" s="214"/>
      <c r="FD45" s="214"/>
      <c r="FE45" s="214"/>
      <c r="FF45" s="214"/>
      <c r="FG45" s="214"/>
      <c r="FH45" s="214"/>
      <c r="FI45" s="214"/>
      <c r="FJ45" s="214"/>
      <c r="FK45" s="214"/>
      <c r="FL45" s="214"/>
      <c r="FM45" s="214"/>
      <c r="FN45" s="214"/>
      <c r="FO45" s="214"/>
      <c r="FP45" s="214"/>
      <c r="FQ45" s="214"/>
      <c r="FR45" s="214"/>
      <c r="FS45" s="214"/>
      <c r="FT45" s="214"/>
      <c r="FU45" s="214"/>
      <c r="FV45" s="214"/>
      <c r="FW45" s="214"/>
      <c r="FX45" s="214"/>
      <c r="FY45" s="214"/>
      <c r="FZ45" s="214"/>
      <c r="GA45" s="214"/>
      <c r="GB45" s="214"/>
      <c r="GC45" s="214"/>
      <c r="GD45" s="214"/>
      <c r="GE45" s="214"/>
      <c r="GF45" s="214"/>
      <c r="GG45" s="214"/>
      <c r="GH45" s="214"/>
      <c r="GI45" s="214"/>
      <c r="GJ45" s="214"/>
      <c r="GK45" s="214"/>
      <c r="GL45" s="214"/>
      <c r="GM45" s="214"/>
      <c r="GN45" s="214"/>
      <c r="GO45" s="214"/>
      <c r="GP45" s="214"/>
      <c r="GQ45" s="214"/>
      <c r="GR45" s="214"/>
      <c r="GS45" s="214"/>
      <c r="GT45" s="214"/>
      <c r="GU45" s="214"/>
      <c r="GV45" s="214"/>
      <c r="GW45" s="214"/>
      <c r="GX45" s="214"/>
      <c r="GY45" s="214"/>
      <c r="GZ45" s="214"/>
      <c r="HA45" s="214"/>
      <c r="HB45" s="214"/>
      <c r="HC45" s="214"/>
      <c r="HD45" s="214"/>
      <c r="HE45" s="214"/>
      <c r="HF45" s="214"/>
      <c r="HG45" s="214"/>
      <c r="HH45" s="214"/>
      <c r="HI45" s="214"/>
      <c r="HJ45" s="214"/>
      <c r="HK45" s="214"/>
      <c r="HL45" s="214"/>
      <c r="HM45" s="214"/>
      <c r="HN45" s="214"/>
      <c r="HO45" s="214"/>
      <c r="HP45" s="214"/>
      <c r="HQ45" s="214"/>
      <c r="HR45" s="214"/>
      <c r="HS45" s="214"/>
      <c r="HT45" s="214"/>
      <c r="HU45" s="214"/>
      <c r="HV45" s="214"/>
      <c r="HW45" s="214"/>
      <c r="HX45" s="214"/>
      <c r="HY45" s="214"/>
      <c r="HZ45" s="214"/>
      <c r="IA45" s="214"/>
      <c r="IB45" s="214"/>
      <c r="IC45" s="214"/>
      <c r="ID45" s="214"/>
      <c r="IE45" s="214"/>
      <c r="IF45" s="214"/>
      <c r="IG45" s="214"/>
      <c r="IH45" s="214"/>
      <c r="II45" s="214"/>
      <c r="IJ45" s="214"/>
      <c r="IK45" s="214"/>
      <c r="IL45" s="214"/>
      <c r="IM45" s="214"/>
      <c r="IN45" s="214"/>
      <c r="IO45" s="214"/>
      <c r="IP45" s="214"/>
      <c r="IQ45" s="214"/>
      <c r="IR45" s="214"/>
      <c r="IS45" s="214"/>
      <c r="IT45" s="214"/>
      <c r="IU45" s="214"/>
      <c r="IV45" s="214"/>
      <c r="IW45" s="214"/>
      <c r="IX45" s="214"/>
      <c r="IY45" s="214"/>
      <c r="IZ45" s="214"/>
      <c r="JA45" s="214"/>
      <c r="JB45" s="214"/>
      <c r="JC45" s="214"/>
      <c r="JD45" s="214"/>
      <c r="JE45" s="214"/>
      <c r="JF45" s="214"/>
      <c r="JG45" s="214"/>
      <c r="JH45" s="214"/>
      <c r="JI45" s="214"/>
    </row>
    <row r="46" spans="1:269">
      <c r="A46" s="149" t="s">
        <v>104</v>
      </c>
      <c r="B46" s="152">
        <f t="shared" si="3"/>
        <v>15649.65468</v>
      </c>
      <c r="C46" s="152"/>
      <c r="D46" s="305">
        <f t="shared" si="4"/>
        <v>15649.65</v>
      </c>
      <c r="E46" s="214"/>
      <c r="F46" s="214"/>
      <c r="G46" s="227"/>
      <c r="H46" s="214"/>
      <c r="I46" s="214"/>
      <c r="J46" s="214"/>
      <c r="K46" s="214"/>
      <c r="L46" s="214"/>
      <c r="M46" s="214"/>
      <c r="N46" s="214"/>
      <c r="O46" s="214"/>
      <c r="P46" s="214"/>
      <c r="Q46" s="214"/>
      <c r="R46" s="214"/>
      <c r="S46" s="214"/>
      <c r="T46" s="214"/>
      <c r="U46" s="214"/>
      <c r="V46" s="214"/>
      <c r="W46" s="214"/>
      <c r="X46" s="214"/>
      <c r="Y46" s="214"/>
      <c r="Z46" s="214"/>
      <c r="AA46" s="214"/>
      <c r="AB46" s="214"/>
      <c r="AC46" s="214"/>
      <c r="AD46" s="214"/>
      <c r="AE46" s="214"/>
      <c r="AF46" s="214"/>
      <c r="AG46" s="214"/>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c r="CG46" s="214"/>
      <c r="CH46" s="214"/>
      <c r="CI46" s="214"/>
      <c r="CJ46" s="214"/>
      <c r="CK46" s="214"/>
      <c r="CL46" s="214"/>
      <c r="CM46" s="214"/>
      <c r="CN46" s="214"/>
      <c r="CO46" s="214"/>
      <c r="CP46" s="214"/>
      <c r="CQ46" s="214"/>
      <c r="CR46" s="214"/>
      <c r="CS46" s="214"/>
      <c r="CT46" s="214"/>
      <c r="CU46" s="214"/>
      <c r="CV46" s="214"/>
      <c r="CW46" s="214"/>
      <c r="CX46" s="214"/>
      <c r="CY46" s="214"/>
      <c r="CZ46" s="214"/>
      <c r="DA46" s="214"/>
      <c r="DB46" s="214"/>
      <c r="DC46" s="214"/>
      <c r="DD46" s="214"/>
      <c r="DE46" s="214"/>
      <c r="DF46" s="214"/>
      <c r="DG46" s="214"/>
      <c r="DH46" s="214"/>
      <c r="DI46" s="214"/>
      <c r="DJ46" s="214"/>
      <c r="DK46" s="214"/>
      <c r="DL46" s="214"/>
      <c r="DM46" s="214"/>
      <c r="DN46" s="214"/>
      <c r="DO46" s="214"/>
      <c r="DP46" s="214"/>
      <c r="DQ46" s="214"/>
      <c r="DR46" s="214"/>
      <c r="DS46" s="214"/>
      <c r="DT46" s="214"/>
      <c r="DU46" s="214"/>
      <c r="DV46" s="214"/>
      <c r="DW46" s="214"/>
      <c r="DX46" s="214"/>
      <c r="DY46" s="214"/>
      <c r="DZ46" s="214"/>
      <c r="EA46" s="214"/>
      <c r="EB46" s="214"/>
      <c r="EC46" s="214"/>
      <c r="ED46" s="214"/>
      <c r="EE46" s="214"/>
      <c r="EF46" s="214"/>
      <c r="EG46" s="214"/>
      <c r="EH46" s="214"/>
      <c r="EI46" s="214"/>
      <c r="EJ46" s="214"/>
      <c r="EK46" s="214"/>
      <c r="EL46" s="214"/>
      <c r="EM46" s="214"/>
      <c r="EN46" s="214"/>
      <c r="EO46" s="214"/>
      <c r="EP46" s="214"/>
      <c r="EQ46" s="214"/>
      <c r="ER46" s="214"/>
      <c r="ES46" s="214"/>
      <c r="ET46" s="214"/>
      <c r="EU46" s="214"/>
      <c r="EV46" s="214"/>
      <c r="EW46" s="214"/>
      <c r="EX46" s="214"/>
      <c r="EY46" s="214"/>
      <c r="EZ46" s="214"/>
      <c r="FA46" s="214"/>
      <c r="FB46" s="214"/>
      <c r="FC46" s="214"/>
      <c r="FD46" s="214"/>
      <c r="FE46" s="214"/>
      <c r="FF46" s="214"/>
      <c r="FG46" s="214"/>
      <c r="FH46" s="214"/>
      <c r="FI46" s="214"/>
      <c r="FJ46" s="214"/>
      <c r="FK46" s="214"/>
      <c r="FL46" s="214"/>
      <c r="FM46" s="214"/>
      <c r="FN46" s="214"/>
      <c r="FO46" s="214"/>
      <c r="FP46" s="214"/>
      <c r="FQ46" s="214"/>
      <c r="FR46" s="214"/>
      <c r="FS46" s="214"/>
      <c r="FT46" s="214"/>
      <c r="FU46" s="214"/>
      <c r="FV46" s="214"/>
      <c r="FW46" s="214"/>
      <c r="FX46" s="214"/>
      <c r="FY46" s="214"/>
      <c r="FZ46" s="214"/>
      <c r="GA46" s="214"/>
      <c r="GB46" s="214"/>
      <c r="GC46" s="214"/>
      <c r="GD46" s="214"/>
      <c r="GE46" s="214"/>
      <c r="GF46" s="214"/>
      <c r="GG46" s="214"/>
      <c r="GH46" s="214"/>
      <c r="GI46" s="214"/>
      <c r="GJ46" s="214"/>
      <c r="GK46" s="214"/>
      <c r="GL46" s="214"/>
      <c r="GM46" s="214"/>
      <c r="GN46" s="214"/>
      <c r="GO46" s="214"/>
      <c r="GP46" s="214"/>
      <c r="GQ46" s="214"/>
      <c r="GR46" s="214"/>
      <c r="GS46" s="214"/>
      <c r="GT46" s="214"/>
      <c r="GU46" s="214"/>
      <c r="GV46" s="214"/>
      <c r="GW46" s="214"/>
      <c r="GX46" s="214"/>
      <c r="GY46" s="214"/>
      <c r="GZ46" s="214"/>
      <c r="HA46" s="214"/>
      <c r="HB46" s="214"/>
      <c r="HC46" s="214"/>
      <c r="HD46" s="214"/>
      <c r="HE46" s="214"/>
      <c r="HF46" s="214"/>
      <c r="HG46" s="214"/>
      <c r="HH46" s="214"/>
      <c r="HI46" s="214"/>
      <c r="HJ46" s="214"/>
      <c r="HK46" s="214"/>
      <c r="HL46" s="214"/>
      <c r="HM46" s="214"/>
      <c r="HN46" s="214"/>
      <c r="HO46" s="214"/>
      <c r="HP46" s="214"/>
      <c r="HQ46" s="214"/>
      <c r="HR46" s="214"/>
      <c r="HS46" s="214"/>
      <c r="HT46" s="214"/>
      <c r="HU46" s="214"/>
      <c r="HV46" s="214"/>
      <c r="HW46" s="214"/>
      <c r="HX46" s="214"/>
      <c r="HY46" s="214"/>
      <c r="HZ46" s="214"/>
      <c r="IA46" s="214"/>
      <c r="IB46" s="214"/>
      <c r="IC46" s="214"/>
      <c r="ID46" s="214"/>
      <c r="IE46" s="214"/>
      <c r="IF46" s="214"/>
      <c r="IG46" s="214"/>
      <c r="IH46" s="214"/>
      <c r="II46" s="214"/>
      <c r="IJ46" s="214"/>
      <c r="IK46" s="214"/>
      <c r="IL46" s="214"/>
      <c r="IM46" s="214"/>
      <c r="IN46" s="214"/>
      <c r="IO46" s="214"/>
      <c r="IP46" s="214"/>
      <c r="IQ46" s="214"/>
      <c r="IR46" s="214"/>
      <c r="IS46" s="214"/>
      <c r="IT46" s="214"/>
      <c r="IU46" s="214"/>
      <c r="IV46" s="214"/>
      <c r="IW46" s="214"/>
      <c r="IX46" s="214"/>
      <c r="IY46" s="214"/>
      <c r="IZ46" s="214"/>
      <c r="JA46" s="214"/>
      <c r="JB46" s="214"/>
      <c r="JC46" s="214"/>
      <c r="JD46" s="214"/>
      <c r="JE46" s="214"/>
      <c r="JF46" s="214"/>
      <c r="JG46" s="214"/>
      <c r="JH46" s="214"/>
      <c r="JI46" s="214"/>
    </row>
    <row r="47" spans="1:269">
      <c r="A47" s="149" t="s">
        <v>105</v>
      </c>
      <c r="B47" s="152">
        <f t="shared" si="3"/>
        <v>141128.86787999998</v>
      </c>
      <c r="C47" s="152"/>
      <c r="D47" s="305">
        <f t="shared" si="4"/>
        <v>141128.87</v>
      </c>
      <c r="E47" s="214"/>
      <c r="F47" s="214"/>
      <c r="G47" s="227"/>
      <c r="H47" s="214"/>
      <c r="I47" s="214"/>
      <c r="J47" s="214"/>
      <c r="K47" s="214"/>
      <c r="L47" s="214"/>
      <c r="M47" s="214"/>
      <c r="N47" s="214"/>
      <c r="O47" s="214"/>
      <c r="P47" s="214"/>
      <c r="Q47" s="214"/>
      <c r="R47" s="214"/>
      <c r="S47" s="214"/>
      <c r="T47" s="214"/>
      <c r="U47" s="214"/>
      <c r="V47" s="214"/>
      <c r="W47" s="214"/>
      <c r="X47" s="214"/>
      <c r="Y47" s="214"/>
      <c r="Z47" s="214"/>
      <c r="AA47" s="214"/>
      <c r="AB47" s="214"/>
      <c r="AC47" s="214"/>
      <c r="AD47" s="214"/>
      <c r="AE47" s="214"/>
      <c r="AF47" s="214"/>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c r="CG47" s="214"/>
      <c r="CH47" s="214"/>
      <c r="CI47" s="214"/>
      <c r="CJ47" s="214"/>
      <c r="CK47" s="214"/>
      <c r="CL47" s="214"/>
      <c r="CM47" s="214"/>
      <c r="CN47" s="214"/>
      <c r="CO47" s="214"/>
      <c r="CP47" s="214"/>
      <c r="CQ47" s="214"/>
      <c r="CR47" s="214"/>
      <c r="CS47" s="214"/>
      <c r="CT47" s="214"/>
      <c r="CU47" s="214"/>
      <c r="CV47" s="214"/>
      <c r="CW47" s="214"/>
      <c r="CX47" s="214"/>
      <c r="CY47" s="214"/>
      <c r="CZ47" s="214"/>
      <c r="DA47" s="214"/>
      <c r="DB47" s="214"/>
      <c r="DC47" s="214"/>
      <c r="DD47" s="214"/>
      <c r="DE47" s="214"/>
      <c r="DF47" s="214"/>
      <c r="DG47" s="214"/>
      <c r="DH47" s="214"/>
      <c r="DI47" s="214"/>
      <c r="DJ47" s="214"/>
      <c r="DK47" s="214"/>
      <c r="DL47" s="214"/>
      <c r="DM47" s="214"/>
      <c r="DN47" s="214"/>
      <c r="DO47" s="214"/>
      <c r="DP47" s="214"/>
      <c r="DQ47" s="214"/>
      <c r="DR47" s="214"/>
      <c r="DS47" s="214"/>
      <c r="DT47" s="214"/>
      <c r="DU47" s="214"/>
      <c r="DV47" s="214"/>
      <c r="DW47" s="214"/>
      <c r="DX47" s="214"/>
      <c r="DY47" s="214"/>
      <c r="DZ47" s="214"/>
      <c r="EA47" s="214"/>
      <c r="EB47" s="214"/>
      <c r="EC47" s="214"/>
      <c r="ED47" s="214"/>
      <c r="EE47" s="214"/>
      <c r="EF47" s="214"/>
      <c r="EG47" s="214"/>
      <c r="EH47" s="214"/>
      <c r="EI47" s="214"/>
      <c r="EJ47" s="214"/>
      <c r="EK47" s="214"/>
      <c r="EL47" s="214"/>
      <c r="EM47" s="214"/>
      <c r="EN47" s="214"/>
      <c r="EO47" s="214"/>
      <c r="EP47" s="214"/>
      <c r="EQ47" s="214"/>
      <c r="ER47" s="214"/>
      <c r="ES47" s="214"/>
      <c r="ET47" s="214"/>
      <c r="EU47" s="214"/>
      <c r="EV47" s="214"/>
      <c r="EW47" s="214"/>
      <c r="EX47" s="214"/>
      <c r="EY47" s="214"/>
      <c r="EZ47" s="214"/>
      <c r="FA47" s="214"/>
      <c r="FB47" s="214"/>
      <c r="FC47" s="214"/>
      <c r="FD47" s="214"/>
      <c r="FE47" s="214"/>
      <c r="FF47" s="214"/>
      <c r="FG47" s="214"/>
      <c r="FH47" s="214"/>
      <c r="FI47" s="214"/>
      <c r="FJ47" s="214"/>
      <c r="FK47" s="214"/>
      <c r="FL47" s="214"/>
      <c r="FM47" s="214"/>
      <c r="FN47" s="214"/>
      <c r="FO47" s="214"/>
      <c r="FP47" s="214"/>
      <c r="FQ47" s="214"/>
      <c r="FR47" s="214"/>
      <c r="FS47" s="214"/>
      <c r="FT47" s="214"/>
      <c r="FU47" s="214"/>
      <c r="FV47" s="214"/>
      <c r="FW47" s="214"/>
      <c r="FX47" s="214"/>
      <c r="FY47" s="214"/>
      <c r="FZ47" s="214"/>
      <c r="GA47" s="214"/>
      <c r="GB47" s="214"/>
      <c r="GC47" s="214"/>
      <c r="GD47" s="214"/>
      <c r="GE47" s="214"/>
      <c r="GF47" s="214"/>
      <c r="GG47" s="214"/>
      <c r="GH47" s="214"/>
      <c r="GI47" s="214"/>
      <c r="GJ47" s="214"/>
      <c r="GK47" s="214"/>
      <c r="GL47" s="214"/>
      <c r="GM47" s="214"/>
      <c r="GN47" s="214"/>
      <c r="GO47" s="214"/>
      <c r="GP47" s="214"/>
      <c r="GQ47" s="214"/>
      <c r="GR47" s="214"/>
      <c r="GS47" s="214"/>
      <c r="GT47" s="214"/>
      <c r="GU47" s="214"/>
      <c r="GV47" s="214"/>
      <c r="GW47" s="214"/>
      <c r="GX47" s="214"/>
      <c r="GY47" s="214"/>
      <c r="GZ47" s="214"/>
      <c r="HA47" s="214"/>
      <c r="HB47" s="214"/>
      <c r="HC47" s="214"/>
      <c r="HD47" s="214"/>
      <c r="HE47" s="214"/>
      <c r="HF47" s="214"/>
      <c r="HG47" s="214"/>
      <c r="HH47" s="214"/>
      <c r="HI47" s="214"/>
      <c r="HJ47" s="214"/>
      <c r="HK47" s="214"/>
      <c r="HL47" s="214"/>
      <c r="HM47" s="214"/>
      <c r="HN47" s="214"/>
      <c r="HO47" s="214"/>
      <c r="HP47" s="214"/>
      <c r="HQ47" s="214"/>
      <c r="HR47" s="214"/>
      <c r="HS47" s="214"/>
      <c r="HT47" s="214"/>
      <c r="HU47" s="214"/>
      <c r="HV47" s="214"/>
      <c r="HW47" s="214"/>
      <c r="HX47" s="214"/>
      <c r="HY47" s="214"/>
      <c r="HZ47" s="214"/>
      <c r="IA47" s="214"/>
      <c r="IB47" s="214"/>
      <c r="IC47" s="214"/>
      <c r="ID47" s="214"/>
      <c r="IE47" s="214"/>
      <c r="IF47" s="214"/>
      <c r="IG47" s="214"/>
      <c r="IH47" s="214"/>
      <c r="II47" s="214"/>
      <c r="IJ47" s="214"/>
      <c r="IK47" s="214"/>
      <c r="IL47" s="214"/>
      <c r="IM47" s="214"/>
      <c r="IN47" s="214"/>
      <c r="IO47" s="214"/>
      <c r="IP47" s="214"/>
      <c r="IQ47" s="214"/>
      <c r="IR47" s="214"/>
      <c r="IS47" s="214"/>
      <c r="IT47" s="214"/>
      <c r="IU47" s="214"/>
      <c r="IV47" s="214"/>
      <c r="IW47" s="214"/>
      <c r="IX47" s="214"/>
      <c r="IY47" s="214"/>
      <c r="IZ47" s="214"/>
      <c r="JA47" s="214"/>
      <c r="JB47" s="214"/>
      <c r="JC47" s="214"/>
      <c r="JD47" s="214"/>
      <c r="JE47" s="214"/>
      <c r="JF47" s="214"/>
      <c r="JG47" s="214"/>
      <c r="JH47" s="214"/>
      <c r="JI47" s="214"/>
    </row>
    <row r="48" spans="1:269">
      <c r="A48" s="149" t="s">
        <v>106</v>
      </c>
      <c r="B48" s="152">
        <f t="shared" si="3"/>
        <v>63585.533879999995</v>
      </c>
      <c r="C48" s="152"/>
      <c r="D48" s="305">
        <f t="shared" si="4"/>
        <v>63585.53</v>
      </c>
      <c r="E48" s="214"/>
      <c r="F48" s="321"/>
      <c r="G48" s="227"/>
      <c r="H48" s="214"/>
      <c r="I48" s="214"/>
      <c r="J48" s="214"/>
      <c r="K48" s="214"/>
      <c r="L48" s="214"/>
      <c r="M48" s="214"/>
      <c r="N48" s="214"/>
      <c r="O48" s="214"/>
      <c r="P48" s="214"/>
      <c r="Q48" s="214"/>
      <c r="R48" s="214"/>
      <c r="S48" s="214"/>
      <c r="T48" s="214"/>
      <c r="U48" s="214"/>
      <c r="V48" s="214"/>
      <c r="W48" s="214"/>
      <c r="X48" s="214"/>
      <c r="Y48" s="214"/>
      <c r="Z48" s="214"/>
      <c r="AA48" s="214"/>
      <c r="AB48" s="214"/>
      <c r="AC48" s="214"/>
      <c r="AD48" s="214"/>
      <c r="AE48" s="214"/>
      <c r="AF48" s="214"/>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c r="CG48" s="214"/>
      <c r="CH48" s="214"/>
      <c r="CI48" s="214"/>
      <c r="CJ48" s="214"/>
      <c r="CK48" s="214"/>
      <c r="CL48" s="214"/>
      <c r="CM48" s="214"/>
      <c r="CN48" s="214"/>
      <c r="CO48" s="214"/>
      <c r="CP48" s="214"/>
      <c r="CQ48" s="214"/>
      <c r="CR48" s="214"/>
      <c r="CS48" s="214"/>
      <c r="CT48" s="214"/>
      <c r="CU48" s="214"/>
      <c r="CV48" s="214"/>
      <c r="CW48" s="214"/>
      <c r="CX48" s="214"/>
      <c r="CY48" s="214"/>
      <c r="CZ48" s="214"/>
      <c r="DA48" s="214"/>
      <c r="DB48" s="214"/>
      <c r="DC48" s="214"/>
      <c r="DD48" s="214"/>
      <c r="DE48" s="214"/>
      <c r="DF48" s="214"/>
      <c r="DG48" s="214"/>
      <c r="DH48" s="214"/>
      <c r="DI48" s="214"/>
      <c r="DJ48" s="214"/>
      <c r="DK48" s="214"/>
      <c r="DL48" s="214"/>
      <c r="DM48" s="214"/>
      <c r="DN48" s="214"/>
      <c r="DO48" s="214"/>
      <c r="DP48" s="214"/>
      <c r="DQ48" s="214"/>
      <c r="DR48" s="214"/>
      <c r="DS48" s="214"/>
      <c r="DT48" s="214"/>
      <c r="DU48" s="214"/>
      <c r="DV48" s="214"/>
      <c r="DW48" s="214"/>
      <c r="DX48" s="214"/>
      <c r="DY48" s="214"/>
      <c r="DZ48" s="214"/>
      <c r="EA48" s="214"/>
      <c r="EB48" s="214"/>
      <c r="EC48" s="214"/>
      <c r="ED48" s="214"/>
      <c r="EE48" s="214"/>
      <c r="EF48" s="214"/>
      <c r="EG48" s="214"/>
      <c r="EH48" s="214"/>
      <c r="EI48" s="214"/>
      <c r="EJ48" s="214"/>
      <c r="EK48" s="214"/>
      <c r="EL48" s="214"/>
      <c r="EM48" s="214"/>
      <c r="EN48" s="214"/>
      <c r="EO48" s="214"/>
      <c r="EP48" s="214"/>
      <c r="EQ48" s="214"/>
      <c r="ER48" s="214"/>
      <c r="ES48" s="214"/>
      <c r="ET48" s="214"/>
      <c r="EU48" s="214"/>
      <c r="EV48" s="214"/>
      <c r="EW48" s="214"/>
      <c r="EX48" s="214"/>
      <c r="EY48" s="214"/>
      <c r="EZ48" s="214"/>
      <c r="FA48" s="214"/>
      <c r="FB48" s="214"/>
      <c r="FC48" s="214"/>
      <c r="FD48" s="214"/>
      <c r="FE48" s="214"/>
      <c r="FF48" s="214"/>
      <c r="FG48" s="214"/>
      <c r="FH48" s="214"/>
      <c r="FI48" s="214"/>
      <c r="FJ48" s="214"/>
      <c r="FK48" s="214"/>
      <c r="FL48" s="214"/>
      <c r="FM48" s="214"/>
      <c r="FN48" s="214"/>
      <c r="FO48" s="214"/>
      <c r="FP48" s="214"/>
      <c r="FQ48" s="214"/>
      <c r="FR48" s="214"/>
      <c r="FS48" s="214"/>
      <c r="FT48" s="214"/>
      <c r="FU48" s="214"/>
      <c r="FV48" s="214"/>
      <c r="FW48" s="214"/>
      <c r="FX48" s="214"/>
      <c r="FY48" s="214"/>
      <c r="FZ48" s="214"/>
      <c r="GA48" s="214"/>
      <c r="GB48" s="214"/>
      <c r="GC48" s="214"/>
      <c r="GD48" s="214"/>
      <c r="GE48" s="214"/>
      <c r="GF48" s="214"/>
      <c r="GG48" s="214"/>
      <c r="GH48" s="214"/>
      <c r="GI48" s="214"/>
      <c r="GJ48" s="214"/>
      <c r="GK48" s="214"/>
      <c r="GL48" s="214"/>
      <c r="GM48" s="214"/>
      <c r="GN48" s="214"/>
      <c r="GO48" s="214"/>
      <c r="GP48" s="214"/>
      <c r="GQ48" s="214"/>
      <c r="GR48" s="214"/>
      <c r="GS48" s="214"/>
      <c r="GT48" s="214"/>
      <c r="GU48" s="214"/>
      <c r="GV48" s="214"/>
      <c r="GW48" s="214"/>
      <c r="GX48" s="214"/>
      <c r="GY48" s="214"/>
      <c r="GZ48" s="214"/>
      <c r="HA48" s="214"/>
      <c r="HB48" s="214"/>
      <c r="HC48" s="214"/>
      <c r="HD48" s="214"/>
      <c r="HE48" s="214"/>
      <c r="HF48" s="214"/>
      <c r="HG48" s="214"/>
      <c r="HH48" s="214"/>
      <c r="HI48" s="214"/>
      <c r="HJ48" s="214"/>
      <c r="HK48" s="214"/>
      <c r="HL48" s="214"/>
      <c r="HM48" s="214"/>
      <c r="HN48" s="214"/>
      <c r="HO48" s="214"/>
      <c r="HP48" s="214"/>
      <c r="HQ48" s="214"/>
      <c r="HR48" s="214"/>
      <c r="HS48" s="214"/>
      <c r="HT48" s="214"/>
      <c r="HU48" s="214"/>
      <c r="HV48" s="214"/>
      <c r="HW48" s="214"/>
      <c r="HX48" s="214"/>
      <c r="HY48" s="214"/>
      <c r="HZ48" s="214"/>
      <c r="IA48" s="214"/>
      <c r="IB48" s="214"/>
      <c r="IC48" s="214"/>
      <c r="ID48" s="214"/>
      <c r="IE48" s="214"/>
      <c r="IF48" s="214"/>
      <c r="IG48" s="214"/>
      <c r="IH48" s="214"/>
      <c r="II48" s="214"/>
      <c r="IJ48" s="214"/>
      <c r="IK48" s="214"/>
      <c r="IL48" s="214"/>
      <c r="IM48" s="214"/>
      <c r="IN48" s="214"/>
      <c r="IO48" s="214"/>
      <c r="IP48" s="214"/>
      <c r="IQ48" s="214"/>
      <c r="IR48" s="214"/>
      <c r="IS48" s="214"/>
      <c r="IT48" s="214"/>
      <c r="IU48" s="214"/>
      <c r="IV48" s="214"/>
      <c r="IW48" s="214"/>
      <c r="IX48" s="214"/>
      <c r="IY48" s="214"/>
      <c r="IZ48" s="214"/>
      <c r="JA48" s="214"/>
      <c r="JB48" s="214"/>
      <c r="JC48" s="214"/>
      <c r="JD48" s="214"/>
      <c r="JE48" s="214"/>
      <c r="JF48" s="214"/>
      <c r="JG48" s="214"/>
      <c r="JH48" s="214"/>
      <c r="JI48" s="214"/>
    </row>
    <row r="49" spans="1:269">
      <c r="A49" s="155" t="s">
        <v>107</v>
      </c>
      <c r="B49" s="156">
        <f t="shared" si="3"/>
        <v>1657594.5051599999</v>
      </c>
      <c r="C49" s="156"/>
      <c r="D49" s="307">
        <f t="shared" si="4"/>
        <v>1657594.51</v>
      </c>
      <c r="E49" s="214"/>
      <c r="F49" s="214"/>
      <c r="G49" s="227"/>
      <c r="H49" s="214"/>
      <c r="I49" s="214"/>
      <c r="J49" s="214"/>
      <c r="K49" s="214"/>
      <c r="L49" s="214"/>
      <c r="M49" s="214"/>
      <c r="N49" s="214"/>
      <c r="O49" s="214"/>
      <c r="P49" s="214"/>
      <c r="Q49" s="214"/>
      <c r="R49" s="214"/>
      <c r="S49" s="214"/>
      <c r="T49" s="214"/>
      <c r="U49" s="214"/>
      <c r="V49" s="214"/>
      <c r="W49" s="214"/>
      <c r="X49" s="214"/>
      <c r="Y49" s="214"/>
      <c r="Z49" s="214"/>
      <c r="AA49" s="214"/>
      <c r="AB49" s="214"/>
      <c r="AC49" s="214"/>
      <c r="AD49" s="214"/>
      <c r="AE49" s="214"/>
      <c r="AF49" s="214"/>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c r="BY49" s="214"/>
      <c r="BZ49" s="214"/>
      <c r="CA49" s="214"/>
      <c r="CB49" s="214"/>
      <c r="CC49" s="214"/>
      <c r="CD49" s="214"/>
      <c r="CE49" s="214"/>
      <c r="CF49" s="214"/>
      <c r="CG49" s="214"/>
      <c r="CH49" s="214"/>
      <c r="CI49" s="214"/>
      <c r="CJ49" s="214"/>
      <c r="CK49" s="214"/>
      <c r="CL49" s="214"/>
      <c r="CM49" s="214"/>
      <c r="CN49" s="214"/>
      <c r="CO49" s="214"/>
      <c r="CP49" s="214"/>
      <c r="CQ49" s="214"/>
      <c r="CR49" s="214"/>
      <c r="CS49" s="214"/>
      <c r="CT49" s="214"/>
      <c r="CU49" s="214"/>
      <c r="CV49" s="214"/>
      <c r="CW49" s="214"/>
      <c r="CX49" s="214"/>
      <c r="CY49" s="214"/>
      <c r="CZ49" s="214"/>
      <c r="DA49" s="214"/>
      <c r="DB49" s="214"/>
      <c r="DC49" s="214"/>
      <c r="DD49" s="214"/>
      <c r="DE49" s="214"/>
      <c r="DF49" s="214"/>
      <c r="DG49" s="214"/>
      <c r="DH49" s="214"/>
      <c r="DI49" s="214"/>
      <c r="DJ49" s="214"/>
      <c r="DK49" s="214"/>
      <c r="DL49" s="214"/>
      <c r="DM49" s="214"/>
      <c r="DN49" s="214"/>
      <c r="DO49" s="214"/>
      <c r="DP49" s="214"/>
      <c r="DQ49" s="214"/>
      <c r="DR49" s="214"/>
      <c r="DS49" s="214"/>
      <c r="DT49" s="214"/>
      <c r="DU49" s="214"/>
      <c r="DV49" s="214"/>
      <c r="DW49" s="214"/>
      <c r="DX49" s="214"/>
      <c r="DY49" s="214"/>
      <c r="DZ49" s="214"/>
      <c r="EA49" s="214"/>
      <c r="EB49" s="214"/>
      <c r="EC49" s="214"/>
      <c r="ED49" s="214"/>
      <c r="EE49" s="214"/>
      <c r="EF49" s="214"/>
      <c r="EG49" s="214"/>
      <c r="EH49" s="214"/>
      <c r="EI49" s="214"/>
      <c r="EJ49" s="214"/>
      <c r="EK49" s="214"/>
      <c r="EL49" s="214"/>
      <c r="EM49" s="214"/>
      <c r="EN49" s="214"/>
      <c r="EO49" s="214"/>
      <c r="EP49" s="214"/>
      <c r="EQ49" s="214"/>
      <c r="ER49" s="214"/>
      <c r="ES49" s="214"/>
      <c r="ET49" s="214"/>
      <c r="EU49" s="214"/>
      <c r="EV49" s="214"/>
      <c r="EW49" s="214"/>
      <c r="EX49" s="214"/>
      <c r="EY49" s="214"/>
      <c r="EZ49" s="214"/>
      <c r="FA49" s="214"/>
      <c r="FB49" s="214"/>
      <c r="FC49" s="214"/>
      <c r="FD49" s="214"/>
      <c r="FE49" s="214"/>
      <c r="FF49" s="214"/>
      <c r="FG49" s="214"/>
      <c r="FH49" s="214"/>
      <c r="FI49" s="214"/>
      <c r="FJ49" s="214"/>
      <c r="FK49" s="214"/>
      <c r="FL49" s="214"/>
      <c r="FM49" s="214"/>
      <c r="FN49" s="214"/>
      <c r="FO49" s="214"/>
      <c r="FP49" s="214"/>
      <c r="FQ49" s="214"/>
      <c r="FR49" s="214"/>
      <c r="FS49" s="214"/>
      <c r="FT49" s="214"/>
      <c r="FU49" s="214"/>
      <c r="FV49" s="214"/>
      <c r="FW49" s="214"/>
      <c r="FX49" s="214"/>
      <c r="FY49" s="214"/>
      <c r="FZ49" s="214"/>
      <c r="GA49" s="214"/>
      <c r="GB49" s="214"/>
      <c r="GC49" s="214"/>
      <c r="GD49" s="214"/>
      <c r="GE49" s="214"/>
      <c r="GF49" s="214"/>
      <c r="GG49" s="214"/>
      <c r="GH49" s="214"/>
      <c r="GI49" s="214"/>
      <c r="GJ49" s="214"/>
      <c r="GK49" s="214"/>
      <c r="GL49" s="214"/>
      <c r="GM49" s="214"/>
      <c r="GN49" s="214"/>
      <c r="GO49" s="214"/>
      <c r="GP49" s="214"/>
      <c r="GQ49" s="214"/>
      <c r="GR49" s="214"/>
      <c r="GS49" s="214"/>
      <c r="GT49" s="214"/>
      <c r="GU49" s="214"/>
      <c r="GV49" s="214"/>
      <c r="GW49" s="214"/>
      <c r="GX49" s="214"/>
      <c r="GY49" s="214"/>
      <c r="GZ49" s="214"/>
      <c r="HA49" s="214"/>
      <c r="HB49" s="214"/>
      <c r="HC49" s="214"/>
      <c r="HD49" s="214"/>
      <c r="HE49" s="214"/>
      <c r="HF49" s="214"/>
      <c r="HG49" s="214"/>
      <c r="HH49" s="214"/>
      <c r="HI49" s="214"/>
      <c r="HJ49" s="214"/>
      <c r="HK49" s="214"/>
      <c r="HL49" s="214"/>
      <c r="HM49" s="214"/>
      <c r="HN49" s="214"/>
      <c r="HO49" s="214"/>
      <c r="HP49" s="214"/>
      <c r="HQ49" s="214"/>
      <c r="HR49" s="214"/>
      <c r="HS49" s="214"/>
      <c r="HT49" s="214"/>
      <c r="HU49" s="214"/>
      <c r="HV49" s="214"/>
      <c r="HW49" s="214"/>
      <c r="HX49" s="214"/>
      <c r="HY49" s="214"/>
      <c r="HZ49" s="214"/>
      <c r="IA49" s="214"/>
      <c r="IB49" s="214"/>
      <c r="IC49" s="214"/>
      <c r="ID49" s="214"/>
      <c r="IE49" s="214"/>
      <c r="IF49" s="214"/>
      <c r="IG49" s="214"/>
      <c r="IH49" s="214"/>
      <c r="II49" s="214"/>
      <c r="IJ49" s="214"/>
      <c r="IK49" s="214"/>
      <c r="IL49" s="214"/>
      <c r="IM49" s="214"/>
      <c r="IN49" s="214"/>
      <c r="IO49" s="214"/>
      <c r="IP49" s="214"/>
      <c r="IQ49" s="214"/>
      <c r="IR49" s="214"/>
      <c r="IS49" s="214"/>
      <c r="IT49" s="214"/>
      <c r="IU49" s="214"/>
      <c r="IV49" s="214"/>
      <c r="IW49" s="214"/>
      <c r="IX49" s="214"/>
      <c r="IY49" s="214"/>
      <c r="IZ49" s="214"/>
      <c r="JA49" s="214"/>
      <c r="JB49" s="214"/>
      <c r="JC49" s="214"/>
      <c r="JD49" s="214"/>
      <c r="JE49" s="214"/>
      <c r="JF49" s="214"/>
      <c r="JG49" s="214"/>
      <c r="JH49" s="214"/>
      <c r="JI49" s="214"/>
    </row>
    <row r="50" spans="1:269">
      <c r="A50" s="149" t="s">
        <v>108</v>
      </c>
      <c r="B50" s="157">
        <f>SUM(B34:B49)</f>
        <v>4280251.04892</v>
      </c>
      <c r="C50" s="157"/>
      <c r="D50" s="306">
        <f>B50+C50</f>
        <v>4280251.04892</v>
      </c>
      <c r="E50" s="214"/>
      <c r="F50" s="214"/>
      <c r="G50" s="227"/>
      <c r="H50" s="214"/>
      <c r="I50" s="214"/>
      <c r="J50" s="214"/>
      <c r="K50" s="214"/>
      <c r="L50" s="214"/>
      <c r="M50" s="214"/>
      <c r="N50" s="214"/>
      <c r="O50" s="214"/>
      <c r="P50" s="214"/>
      <c r="Q50" s="214"/>
      <c r="R50" s="214"/>
      <c r="S50" s="214"/>
      <c r="T50" s="214"/>
      <c r="U50" s="214"/>
      <c r="V50" s="214"/>
      <c r="W50" s="214"/>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c r="CE50" s="214"/>
      <c r="CF50" s="214"/>
      <c r="CG50" s="214"/>
      <c r="CH50" s="214"/>
      <c r="CI50" s="214"/>
      <c r="CJ50" s="214"/>
      <c r="CK50" s="214"/>
      <c r="CL50" s="214"/>
      <c r="CM50" s="214"/>
      <c r="CN50" s="214"/>
      <c r="CO50" s="214"/>
      <c r="CP50" s="214"/>
      <c r="CQ50" s="214"/>
      <c r="CR50" s="214"/>
      <c r="CS50" s="214"/>
      <c r="CT50" s="214"/>
      <c r="CU50" s="214"/>
      <c r="CV50" s="214"/>
      <c r="CW50" s="214"/>
      <c r="CX50" s="214"/>
      <c r="CY50" s="214"/>
      <c r="CZ50" s="214"/>
      <c r="DA50" s="214"/>
      <c r="DB50" s="214"/>
      <c r="DC50" s="214"/>
      <c r="DD50" s="214"/>
      <c r="DE50" s="214"/>
      <c r="DF50" s="214"/>
      <c r="DG50" s="214"/>
      <c r="DH50" s="214"/>
      <c r="DI50" s="214"/>
      <c r="DJ50" s="214"/>
      <c r="DK50" s="214"/>
      <c r="DL50" s="214"/>
      <c r="DM50" s="214"/>
      <c r="DN50" s="214"/>
      <c r="DO50" s="214"/>
      <c r="DP50" s="214"/>
      <c r="DQ50" s="214"/>
      <c r="DR50" s="214"/>
      <c r="DS50" s="214"/>
      <c r="DT50" s="214"/>
      <c r="DU50" s="214"/>
      <c r="DV50" s="214"/>
      <c r="DW50" s="214"/>
      <c r="DX50" s="214"/>
      <c r="DY50" s="214"/>
      <c r="DZ50" s="214"/>
      <c r="EA50" s="214"/>
      <c r="EB50" s="214"/>
      <c r="EC50" s="214"/>
      <c r="ED50" s="214"/>
      <c r="EE50" s="214"/>
      <c r="EF50" s="214"/>
      <c r="EG50" s="214"/>
      <c r="EH50" s="214"/>
      <c r="EI50" s="214"/>
      <c r="EJ50" s="214"/>
      <c r="EK50" s="214"/>
      <c r="EL50" s="214"/>
      <c r="EM50" s="214"/>
      <c r="EN50" s="214"/>
      <c r="EO50" s="214"/>
      <c r="EP50" s="214"/>
      <c r="EQ50" s="214"/>
      <c r="ER50" s="214"/>
      <c r="ES50" s="214"/>
      <c r="ET50" s="214"/>
      <c r="EU50" s="214"/>
      <c r="EV50" s="214"/>
      <c r="EW50" s="214"/>
      <c r="EX50" s="214"/>
      <c r="EY50" s="214"/>
      <c r="EZ50" s="214"/>
      <c r="FA50" s="214"/>
      <c r="FB50" s="214"/>
      <c r="FC50" s="214"/>
      <c r="FD50" s="214"/>
      <c r="FE50" s="214"/>
      <c r="FF50" s="214"/>
      <c r="FG50" s="214"/>
      <c r="FH50" s="214"/>
      <c r="FI50" s="214"/>
      <c r="FJ50" s="214"/>
      <c r="FK50" s="214"/>
      <c r="FL50" s="214"/>
      <c r="FM50" s="214"/>
      <c r="FN50" s="214"/>
      <c r="FO50" s="214"/>
      <c r="FP50" s="214"/>
      <c r="FQ50" s="214"/>
      <c r="FR50" s="214"/>
      <c r="FS50" s="214"/>
      <c r="FT50" s="214"/>
      <c r="FU50" s="214"/>
      <c r="FV50" s="214"/>
      <c r="FW50" s="214"/>
      <c r="FX50" s="214"/>
      <c r="FY50" s="214"/>
      <c r="FZ50" s="214"/>
      <c r="GA50" s="214"/>
      <c r="GB50" s="214"/>
      <c r="GC50" s="214"/>
      <c r="GD50" s="214"/>
      <c r="GE50" s="214"/>
      <c r="GF50" s="214"/>
      <c r="GG50" s="214"/>
      <c r="GH50" s="214"/>
      <c r="GI50" s="214"/>
      <c r="GJ50" s="214"/>
      <c r="GK50" s="214"/>
      <c r="GL50" s="214"/>
      <c r="GM50" s="214"/>
      <c r="GN50" s="214"/>
      <c r="GO50" s="214"/>
      <c r="GP50" s="214"/>
      <c r="GQ50" s="214"/>
      <c r="GR50" s="214"/>
      <c r="GS50" s="214"/>
      <c r="GT50" s="214"/>
      <c r="GU50" s="214"/>
      <c r="GV50" s="214"/>
      <c r="GW50" s="214"/>
      <c r="GX50" s="214"/>
      <c r="GY50" s="214"/>
      <c r="GZ50" s="214"/>
      <c r="HA50" s="214"/>
      <c r="HB50" s="214"/>
      <c r="HC50" s="214"/>
      <c r="HD50" s="214"/>
      <c r="HE50" s="214"/>
      <c r="HF50" s="214"/>
      <c r="HG50" s="214"/>
      <c r="HH50" s="214"/>
      <c r="HI50" s="214"/>
      <c r="HJ50" s="214"/>
      <c r="HK50" s="214"/>
      <c r="HL50" s="214"/>
      <c r="HM50" s="214"/>
      <c r="HN50" s="214"/>
      <c r="HO50" s="214"/>
      <c r="HP50" s="214"/>
      <c r="HQ50" s="214"/>
      <c r="HR50" s="214"/>
      <c r="HS50" s="214"/>
      <c r="HT50" s="214"/>
      <c r="HU50" s="214"/>
      <c r="HV50" s="214"/>
      <c r="HW50" s="214"/>
      <c r="HX50" s="214"/>
      <c r="HY50" s="214"/>
      <c r="HZ50" s="214"/>
      <c r="IA50" s="214"/>
      <c r="IB50" s="214"/>
      <c r="IC50" s="214"/>
      <c r="ID50" s="214"/>
      <c r="IE50" s="214"/>
      <c r="IF50" s="214"/>
      <c r="IG50" s="214"/>
      <c r="IH50" s="214"/>
      <c r="II50" s="214"/>
      <c r="IJ50" s="214"/>
      <c r="IK50" s="214"/>
      <c r="IL50" s="214"/>
      <c r="IM50" s="214"/>
      <c r="IN50" s="214"/>
      <c r="IO50" s="214"/>
      <c r="IP50" s="214"/>
      <c r="IQ50" s="214"/>
      <c r="IR50" s="214"/>
      <c r="IS50" s="214"/>
      <c r="IT50" s="214"/>
      <c r="IU50" s="214"/>
      <c r="IV50" s="214"/>
      <c r="IW50" s="214"/>
      <c r="IX50" s="214"/>
      <c r="IY50" s="214"/>
      <c r="IZ50" s="214"/>
      <c r="JA50" s="214"/>
      <c r="JB50" s="214"/>
      <c r="JC50" s="214"/>
      <c r="JD50" s="214"/>
      <c r="JE50" s="214"/>
      <c r="JF50" s="214"/>
      <c r="JG50" s="214"/>
      <c r="JH50" s="214"/>
      <c r="JI50" s="214"/>
    </row>
    <row r="51" spans="1:269" ht="15.75" thickBot="1">
      <c r="A51" s="214"/>
      <c r="B51" s="214"/>
      <c r="C51" s="214"/>
      <c r="D51" s="214"/>
      <c r="E51" s="214"/>
      <c r="F51" s="214"/>
      <c r="G51" s="214"/>
      <c r="H51" s="214"/>
      <c r="I51" s="214"/>
      <c r="J51" s="214"/>
      <c r="K51" s="214"/>
      <c r="L51" s="214"/>
      <c r="M51" s="214"/>
      <c r="N51" s="214"/>
      <c r="O51" s="214"/>
      <c r="P51" s="214"/>
      <c r="Q51" s="214"/>
      <c r="R51" s="214"/>
      <c r="S51" s="214"/>
      <c r="T51" s="214"/>
      <c r="U51" s="214"/>
      <c r="V51" s="214"/>
      <c r="W51" s="214"/>
      <c r="X51" s="214"/>
      <c r="Y51" s="214"/>
      <c r="Z51" s="214"/>
      <c r="AA51" s="214"/>
      <c r="AB51" s="214"/>
      <c r="AC51" s="214"/>
      <c r="AD51" s="214"/>
      <c r="AE51" s="214"/>
      <c r="AF51" s="214"/>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c r="CG51" s="214"/>
      <c r="CH51" s="214"/>
      <c r="CI51" s="214"/>
      <c r="CJ51" s="214"/>
      <c r="CK51" s="214"/>
      <c r="CL51" s="214"/>
      <c r="CM51" s="214"/>
      <c r="CN51" s="214"/>
      <c r="CO51" s="214"/>
      <c r="CP51" s="214"/>
      <c r="CQ51" s="214"/>
      <c r="CR51" s="214"/>
      <c r="CS51" s="214"/>
      <c r="CT51" s="214"/>
      <c r="CU51" s="214"/>
      <c r="CV51" s="214"/>
      <c r="CW51" s="214"/>
      <c r="CX51" s="214"/>
      <c r="CY51" s="214"/>
      <c r="CZ51" s="214"/>
      <c r="DA51" s="214"/>
      <c r="DB51" s="214"/>
      <c r="DC51" s="214"/>
      <c r="DD51" s="214"/>
      <c r="DE51" s="214"/>
      <c r="DF51" s="214"/>
      <c r="DG51" s="214"/>
      <c r="DH51" s="214"/>
      <c r="DI51" s="214"/>
      <c r="DJ51" s="214"/>
      <c r="DK51" s="214"/>
      <c r="DL51" s="214"/>
      <c r="DM51" s="214"/>
      <c r="DN51" s="214"/>
      <c r="DO51" s="214"/>
      <c r="DP51" s="214"/>
      <c r="DQ51" s="214"/>
      <c r="DR51" s="214"/>
      <c r="DS51" s="214"/>
      <c r="DT51" s="214"/>
      <c r="DU51" s="214"/>
      <c r="DV51" s="214"/>
      <c r="DW51" s="214"/>
      <c r="DX51" s="214"/>
      <c r="DY51" s="214"/>
      <c r="DZ51" s="214"/>
      <c r="EA51" s="214"/>
      <c r="EB51" s="214"/>
      <c r="EC51" s="214"/>
      <c r="ED51" s="214"/>
      <c r="EE51" s="214"/>
      <c r="EF51" s="214"/>
      <c r="EG51" s="214"/>
      <c r="EH51" s="214"/>
      <c r="EI51" s="214"/>
      <c r="EJ51" s="214"/>
      <c r="EK51" s="214"/>
      <c r="EL51" s="214"/>
      <c r="EM51" s="214"/>
      <c r="EN51" s="214"/>
      <c r="EO51" s="214"/>
      <c r="EP51" s="214"/>
      <c r="EQ51" s="214"/>
      <c r="ER51" s="214"/>
      <c r="ES51" s="214"/>
      <c r="ET51" s="214"/>
      <c r="EU51" s="214"/>
      <c r="EV51" s="214"/>
      <c r="EW51" s="214"/>
      <c r="EX51" s="214"/>
      <c r="EY51" s="214"/>
      <c r="EZ51" s="214"/>
      <c r="FA51" s="214"/>
      <c r="FB51" s="214"/>
      <c r="FC51" s="214"/>
      <c r="FD51" s="214"/>
      <c r="FE51" s="214"/>
      <c r="FF51" s="214"/>
      <c r="FG51" s="214"/>
      <c r="FH51" s="214"/>
      <c r="FI51" s="214"/>
      <c r="FJ51" s="214"/>
      <c r="FK51" s="214"/>
      <c r="FL51" s="214"/>
      <c r="FM51" s="214"/>
      <c r="FN51" s="214"/>
      <c r="FO51" s="214"/>
      <c r="FP51" s="214"/>
      <c r="FQ51" s="214"/>
      <c r="FR51" s="214"/>
      <c r="FS51" s="214"/>
      <c r="FT51" s="214"/>
      <c r="FU51" s="214"/>
      <c r="FV51" s="214"/>
      <c r="FW51" s="214"/>
      <c r="FX51" s="214"/>
      <c r="FY51" s="214"/>
      <c r="FZ51" s="214"/>
      <c r="GA51" s="214"/>
      <c r="GB51" s="214"/>
      <c r="GC51" s="214"/>
      <c r="GD51" s="214"/>
      <c r="GE51" s="214"/>
      <c r="GF51" s="214"/>
      <c r="GG51" s="214"/>
      <c r="GH51" s="214"/>
      <c r="GI51" s="214"/>
      <c r="GJ51" s="214"/>
      <c r="GK51" s="214"/>
      <c r="GL51" s="214"/>
      <c r="GM51" s="214"/>
      <c r="GN51" s="214"/>
      <c r="GO51" s="214"/>
      <c r="GP51" s="214"/>
      <c r="GQ51" s="214"/>
      <c r="GR51" s="214"/>
      <c r="GS51" s="214"/>
      <c r="GT51" s="214"/>
      <c r="GU51" s="214"/>
      <c r="GV51" s="214"/>
      <c r="GW51" s="214"/>
      <c r="GX51" s="214"/>
      <c r="GY51" s="214"/>
      <c r="GZ51" s="214"/>
      <c r="HA51" s="214"/>
      <c r="HB51" s="214"/>
      <c r="HC51" s="214"/>
      <c r="HD51" s="214"/>
      <c r="HE51" s="214"/>
      <c r="HF51" s="214"/>
      <c r="HG51" s="214"/>
      <c r="HH51" s="214"/>
      <c r="HI51" s="214"/>
      <c r="HJ51" s="214"/>
      <c r="HK51" s="214"/>
      <c r="HL51" s="214"/>
      <c r="HM51" s="214"/>
      <c r="HN51" s="214"/>
      <c r="HO51" s="214"/>
      <c r="HP51" s="214"/>
      <c r="HQ51" s="214"/>
      <c r="HR51" s="214"/>
      <c r="HS51" s="214"/>
      <c r="HT51" s="214"/>
      <c r="HU51" s="214"/>
      <c r="HV51" s="214"/>
      <c r="HW51" s="214"/>
      <c r="HX51" s="214"/>
      <c r="HY51" s="214"/>
      <c r="HZ51" s="214"/>
      <c r="IA51" s="214"/>
      <c r="IB51" s="214"/>
      <c r="IC51" s="214"/>
      <c r="ID51" s="214"/>
      <c r="IE51" s="214"/>
      <c r="IF51" s="214"/>
      <c r="IG51" s="214"/>
      <c r="IH51" s="214"/>
      <c r="II51" s="214"/>
      <c r="IJ51" s="214"/>
      <c r="IK51" s="214"/>
      <c r="IL51" s="214"/>
      <c r="IM51" s="214"/>
      <c r="IN51" s="214"/>
      <c r="IO51" s="214"/>
      <c r="IP51" s="214"/>
      <c r="IQ51" s="214"/>
      <c r="IR51" s="214"/>
      <c r="IS51" s="214"/>
      <c r="IT51" s="214"/>
      <c r="IU51" s="214"/>
      <c r="IV51" s="214"/>
      <c r="IW51" s="214"/>
      <c r="IX51" s="214"/>
      <c r="IY51" s="214"/>
      <c r="IZ51" s="214"/>
      <c r="JA51" s="214"/>
      <c r="JB51" s="214"/>
      <c r="JC51" s="214"/>
      <c r="JD51" s="214"/>
      <c r="JE51" s="214"/>
      <c r="JF51" s="214"/>
      <c r="JG51" s="214"/>
      <c r="JH51" s="214"/>
      <c r="JI51" s="214"/>
    </row>
    <row r="52" spans="1:269" ht="16.5" thickTop="1" thickBot="1">
      <c r="A52" s="214"/>
      <c r="B52" s="214"/>
      <c r="C52" s="214"/>
      <c r="D52" s="101">
        <f>Sociala!C22-'Soctjänst data'!D50</f>
        <v>1.1080000549554825E-2</v>
      </c>
      <c r="E52" s="214"/>
      <c r="F52" s="214"/>
      <c r="G52" s="214"/>
      <c r="H52" s="214"/>
      <c r="I52" s="214"/>
      <c r="J52" s="214"/>
      <c r="K52" s="214"/>
      <c r="L52" s="214"/>
      <c r="M52" s="214"/>
      <c r="N52" s="214"/>
      <c r="O52" s="214"/>
      <c r="P52" s="214"/>
      <c r="Q52" s="214"/>
      <c r="R52" s="214"/>
      <c r="S52" s="214"/>
      <c r="T52" s="214"/>
      <c r="U52" s="214"/>
      <c r="V52" s="214"/>
      <c r="W52" s="214"/>
      <c r="X52" s="214"/>
      <c r="Y52" s="214"/>
      <c r="Z52" s="214"/>
      <c r="AA52" s="214"/>
      <c r="AB52" s="214"/>
      <c r="AC52" s="214"/>
      <c r="AD52" s="214"/>
      <c r="AE52" s="214"/>
      <c r="AF52" s="214"/>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4"/>
      <c r="CG52" s="214"/>
      <c r="CH52" s="214"/>
      <c r="CI52" s="214"/>
      <c r="CJ52" s="214"/>
      <c r="CK52" s="214"/>
      <c r="CL52" s="214"/>
      <c r="CM52" s="214"/>
      <c r="CN52" s="214"/>
      <c r="CO52" s="214"/>
      <c r="CP52" s="214"/>
      <c r="CQ52" s="214"/>
      <c r="CR52" s="214"/>
      <c r="CS52" s="214"/>
      <c r="CT52" s="214"/>
      <c r="CU52" s="214"/>
      <c r="CV52" s="214"/>
      <c r="CW52" s="214"/>
      <c r="CX52" s="214"/>
      <c r="CY52" s="214"/>
      <c r="CZ52" s="214"/>
      <c r="DA52" s="214"/>
      <c r="DB52" s="214"/>
      <c r="DC52" s="214"/>
      <c r="DD52" s="214"/>
      <c r="DE52" s="214"/>
      <c r="DF52" s="214"/>
      <c r="DG52" s="214"/>
      <c r="DH52" s="214"/>
      <c r="DI52" s="214"/>
      <c r="DJ52" s="214"/>
      <c r="DK52" s="214"/>
      <c r="DL52" s="214"/>
      <c r="DM52" s="214"/>
      <c r="DN52" s="214"/>
      <c r="DO52" s="214"/>
      <c r="DP52" s="214"/>
      <c r="DQ52" s="214"/>
      <c r="DR52" s="214"/>
      <c r="DS52" s="214"/>
      <c r="DT52" s="214"/>
      <c r="DU52" s="214"/>
      <c r="DV52" s="214"/>
      <c r="DW52" s="214"/>
      <c r="DX52" s="214"/>
      <c r="DY52" s="214"/>
      <c r="DZ52" s="214"/>
      <c r="EA52" s="214"/>
      <c r="EB52" s="214"/>
      <c r="EC52" s="214"/>
      <c r="ED52" s="214"/>
      <c r="EE52" s="214"/>
      <c r="EF52" s="214"/>
      <c r="EG52" s="214"/>
      <c r="EH52" s="214"/>
      <c r="EI52" s="214"/>
      <c r="EJ52" s="214"/>
      <c r="EK52" s="214"/>
      <c r="EL52" s="214"/>
      <c r="EM52" s="214"/>
      <c r="EN52" s="214"/>
      <c r="EO52" s="214"/>
      <c r="EP52" s="214"/>
      <c r="EQ52" s="214"/>
      <c r="ER52" s="214"/>
      <c r="ES52" s="214"/>
      <c r="ET52" s="214"/>
      <c r="EU52" s="214"/>
      <c r="EV52" s="214"/>
      <c r="EW52" s="214"/>
      <c r="EX52" s="214"/>
      <c r="EY52" s="214"/>
      <c r="EZ52" s="214"/>
      <c r="FA52" s="214"/>
      <c r="FB52" s="214"/>
      <c r="FC52" s="214"/>
      <c r="FD52" s="214"/>
      <c r="FE52" s="214"/>
      <c r="FF52" s="214"/>
      <c r="FG52" s="214"/>
      <c r="FH52" s="214"/>
      <c r="FI52" s="214"/>
      <c r="FJ52" s="214"/>
      <c r="FK52" s="214"/>
      <c r="FL52" s="214"/>
      <c r="FM52" s="214"/>
      <c r="FN52" s="214"/>
      <c r="FO52" s="214"/>
      <c r="FP52" s="214"/>
      <c r="FQ52" s="214"/>
      <c r="FR52" s="214"/>
      <c r="FS52" s="214"/>
      <c r="FT52" s="214"/>
      <c r="FU52" s="214"/>
      <c r="FV52" s="214"/>
      <c r="FW52" s="214"/>
      <c r="FX52" s="214"/>
      <c r="FY52" s="214"/>
      <c r="FZ52" s="214"/>
      <c r="GA52" s="214"/>
      <c r="GB52" s="214"/>
      <c r="GC52" s="214"/>
      <c r="GD52" s="214"/>
      <c r="GE52" s="214"/>
      <c r="GF52" s="214"/>
      <c r="GG52" s="214"/>
      <c r="GH52" s="214"/>
      <c r="GI52" s="214"/>
      <c r="GJ52" s="214"/>
      <c r="GK52" s="214"/>
      <c r="GL52" s="214"/>
      <c r="GM52" s="214"/>
      <c r="GN52" s="214"/>
      <c r="GO52" s="214"/>
      <c r="GP52" s="214"/>
      <c r="GQ52" s="214"/>
      <c r="GR52" s="214"/>
      <c r="GS52" s="214"/>
      <c r="GT52" s="214"/>
      <c r="GU52" s="214"/>
      <c r="GV52" s="214"/>
      <c r="GW52" s="214"/>
      <c r="GX52" s="214"/>
      <c r="GY52" s="214"/>
      <c r="GZ52" s="214"/>
      <c r="HA52" s="214"/>
      <c r="HB52" s="214"/>
      <c r="HC52" s="214"/>
      <c r="HD52" s="214"/>
      <c r="HE52" s="214"/>
      <c r="HF52" s="214"/>
      <c r="HG52" s="214"/>
      <c r="HH52" s="214"/>
      <c r="HI52" s="214"/>
      <c r="HJ52" s="214"/>
      <c r="HK52" s="214"/>
      <c r="HL52" s="214"/>
      <c r="HM52" s="214"/>
      <c r="HN52" s="214"/>
      <c r="HO52" s="214"/>
      <c r="HP52" s="214"/>
      <c r="HQ52" s="214"/>
      <c r="HR52" s="214"/>
      <c r="HS52" s="214"/>
      <c r="HT52" s="214"/>
      <c r="HU52" s="214"/>
      <c r="HV52" s="214"/>
      <c r="HW52" s="214"/>
      <c r="HX52" s="214"/>
      <c r="HY52" s="214"/>
      <c r="HZ52" s="214"/>
      <c r="IA52" s="214"/>
      <c r="IB52" s="214"/>
      <c r="IC52" s="214"/>
      <c r="ID52" s="214"/>
      <c r="IE52" s="214"/>
      <c r="IF52" s="214"/>
      <c r="IG52" s="214"/>
      <c r="IH52" s="214"/>
      <c r="II52" s="214"/>
      <c r="IJ52" s="214"/>
      <c r="IK52" s="214"/>
      <c r="IL52" s="214"/>
      <c r="IM52" s="214"/>
      <c r="IN52" s="214"/>
      <c r="IO52" s="214"/>
      <c r="IP52" s="214"/>
      <c r="IQ52" s="214"/>
      <c r="IR52" s="214"/>
      <c r="IS52" s="214"/>
      <c r="IT52" s="214"/>
      <c r="IU52" s="214"/>
      <c r="IV52" s="214"/>
      <c r="IW52" s="214"/>
      <c r="IX52" s="214"/>
      <c r="IY52" s="214"/>
      <c r="IZ52" s="214"/>
      <c r="JA52" s="214"/>
      <c r="JB52" s="214"/>
      <c r="JC52" s="214"/>
      <c r="JD52" s="214"/>
      <c r="JE52" s="214"/>
      <c r="JF52" s="214"/>
      <c r="JG52" s="214"/>
      <c r="JH52" s="214"/>
      <c r="JI52" s="214"/>
    </row>
    <row r="53" spans="1:269" ht="15.75" thickTop="1">
      <c r="A53" s="214"/>
      <c r="B53" s="214"/>
      <c r="C53" s="214"/>
      <c r="D53" s="214"/>
      <c r="E53" s="214"/>
      <c r="F53" s="214"/>
      <c r="G53" s="214"/>
      <c r="H53" s="214"/>
      <c r="I53" s="214"/>
      <c r="J53" s="214"/>
      <c r="K53" s="214"/>
      <c r="L53" s="214"/>
      <c r="M53" s="214"/>
      <c r="N53" s="214"/>
      <c r="O53" s="214"/>
      <c r="P53" s="214"/>
      <c r="Q53" s="214"/>
      <c r="R53" s="214"/>
      <c r="S53" s="214"/>
      <c r="T53" s="214"/>
      <c r="U53" s="214"/>
      <c r="V53" s="214"/>
      <c r="W53" s="214"/>
      <c r="X53" s="214"/>
      <c r="Y53" s="214"/>
      <c r="Z53" s="214"/>
      <c r="AA53" s="214"/>
      <c r="AB53" s="214"/>
      <c r="AC53" s="214"/>
      <c r="AD53" s="214"/>
      <c r="AE53" s="214"/>
      <c r="AF53" s="214"/>
      <c r="AG53" s="214"/>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c r="CG53" s="214"/>
      <c r="CH53" s="214"/>
      <c r="CI53" s="214"/>
      <c r="CJ53" s="214"/>
      <c r="CK53" s="214"/>
      <c r="CL53" s="214"/>
      <c r="CM53" s="214"/>
      <c r="CN53" s="214"/>
      <c r="CO53" s="214"/>
      <c r="CP53" s="214"/>
      <c r="CQ53" s="214"/>
      <c r="CR53" s="214"/>
      <c r="CS53" s="214"/>
      <c r="CT53" s="214"/>
      <c r="CU53" s="214"/>
      <c r="CV53" s="214"/>
      <c r="CW53" s="214"/>
      <c r="CX53" s="214"/>
      <c r="CY53" s="214"/>
      <c r="CZ53" s="214"/>
      <c r="DA53" s="214"/>
      <c r="DB53" s="214"/>
      <c r="DC53" s="214"/>
      <c r="DD53" s="214"/>
      <c r="DE53" s="214"/>
      <c r="DF53" s="214"/>
      <c r="DG53" s="214"/>
      <c r="DH53" s="214"/>
      <c r="DI53" s="214"/>
      <c r="DJ53" s="214"/>
      <c r="DK53" s="214"/>
      <c r="DL53" s="214"/>
      <c r="DM53" s="214"/>
      <c r="DN53" s="214"/>
      <c r="DO53" s="214"/>
      <c r="DP53" s="214"/>
      <c r="DQ53" s="214"/>
      <c r="DR53" s="214"/>
      <c r="DS53" s="214"/>
      <c r="DT53" s="214"/>
      <c r="DU53" s="214"/>
      <c r="DV53" s="214"/>
      <c r="DW53" s="214"/>
      <c r="DX53" s="214"/>
      <c r="DY53" s="214"/>
      <c r="DZ53" s="214"/>
      <c r="EA53" s="214"/>
      <c r="EB53" s="214"/>
      <c r="EC53" s="214"/>
      <c r="ED53" s="214"/>
      <c r="EE53" s="214"/>
      <c r="EF53" s="214"/>
      <c r="EG53" s="214"/>
      <c r="EH53" s="214"/>
      <c r="EI53" s="214"/>
      <c r="EJ53" s="214"/>
      <c r="EK53" s="214"/>
      <c r="EL53" s="214"/>
      <c r="EM53" s="214"/>
      <c r="EN53" s="214"/>
      <c r="EO53" s="214"/>
      <c r="EP53" s="214"/>
      <c r="EQ53" s="214"/>
      <c r="ER53" s="214"/>
      <c r="ES53" s="214"/>
      <c r="ET53" s="214"/>
      <c r="EU53" s="214"/>
      <c r="EV53" s="214"/>
      <c r="EW53" s="214"/>
      <c r="EX53" s="214"/>
      <c r="EY53" s="214"/>
      <c r="EZ53" s="214"/>
      <c r="FA53" s="214"/>
      <c r="FB53" s="214"/>
      <c r="FC53" s="214"/>
      <c r="FD53" s="214"/>
      <c r="FE53" s="214"/>
      <c r="FF53" s="214"/>
      <c r="FG53" s="214"/>
      <c r="FH53" s="214"/>
      <c r="FI53" s="214"/>
      <c r="FJ53" s="214"/>
      <c r="FK53" s="214"/>
      <c r="FL53" s="214"/>
      <c r="FM53" s="214"/>
      <c r="FN53" s="214"/>
      <c r="FO53" s="214"/>
      <c r="FP53" s="214"/>
      <c r="FQ53" s="214"/>
      <c r="FR53" s="214"/>
      <c r="FS53" s="214"/>
      <c r="FT53" s="214"/>
      <c r="FU53" s="214"/>
      <c r="FV53" s="214"/>
      <c r="FW53" s="214"/>
      <c r="FX53" s="214"/>
      <c r="FY53" s="214"/>
      <c r="FZ53" s="214"/>
      <c r="GA53" s="214"/>
      <c r="GB53" s="214"/>
      <c r="GC53" s="214"/>
      <c r="GD53" s="214"/>
      <c r="GE53" s="214"/>
      <c r="GF53" s="214"/>
      <c r="GG53" s="214"/>
      <c r="GH53" s="214"/>
      <c r="GI53" s="214"/>
      <c r="GJ53" s="214"/>
      <c r="GK53" s="214"/>
      <c r="GL53" s="214"/>
      <c r="GM53" s="214"/>
      <c r="GN53" s="214"/>
      <c r="GO53" s="214"/>
      <c r="GP53" s="214"/>
      <c r="GQ53" s="214"/>
      <c r="GR53" s="214"/>
      <c r="GS53" s="214"/>
      <c r="GT53" s="214"/>
      <c r="GU53" s="214"/>
      <c r="GV53" s="214"/>
      <c r="GW53" s="214"/>
      <c r="GX53" s="214"/>
      <c r="GY53" s="214"/>
      <c r="GZ53" s="214"/>
      <c r="HA53" s="214"/>
      <c r="HB53" s="214"/>
      <c r="HC53" s="214"/>
      <c r="HD53" s="214"/>
      <c r="HE53" s="214"/>
      <c r="HF53" s="214"/>
      <c r="HG53" s="214"/>
      <c r="HH53" s="214"/>
      <c r="HI53" s="214"/>
      <c r="HJ53" s="214"/>
      <c r="HK53" s="214"/>
      <c r="HL53" s="214"/>
      <c r="HM53" s="214"/>
      <c r="HN53" s="214"/>
      <c r="HO53" s="214"/>
      <c r="HP53" s="214"/>
      <c r="HQ53" s="214"/>
      <c r="HR53" s="214"/>
      <c r="HS53" s="214"/>
      <c r="HT53" s="214"/>
      <c r="HU53" s="214"/>
      <c r="HV53" s="214"/>
      <c r="HW53" s="214"/>
      <c r="HX53" s="214"/>
      <c r="HY53" s="214"/>
      <c r="HZ53" s="214"/>
      <c r="IA53" s="214"/>
      <c r="IB53" s="214"/>
      <c r="IC53" s="214"/>
      <c r="ID53" s="214"/>
      <c r="IE53" s="214"/>
      <c r="IF53" s="214"/>
      <c r="IG53" s="214"/>
      <c r="IH53" s="214"/>
      <c r="II53" s="214"/>
      <c r="IJ53" s="214"/>
      <c r="IK53" s="214"/>
      <c r="IL53" s="214"/>
      <c r="IM53" s="214"/>
      <c r="IN53" s="214"/>
      <c r="IO53" s="214"/>
      <c r="IP53" s="214"/>
      <c r="IQ53" s="214"/>
      <c r="IR53" s="214"/>
      <c r="IS53" s="214"/>
      <c r="IT53" s="214"/>
      <c r="IU53" s="214"/>
      <c r="IV53" s="214"/>
      <c r="IW53" s="214"/>
      <c r="IX53" s="214"/>
      <c r="IY53" s="214"/>
      <c r="IZ53" s="214"/>
      <c r="JA53" s="214"/>
      <c r="JB53" s="214"/>
      <c r="JC53" s="214"/>
      <c r="JD53" s="214"/>
      <c r="JE53" s="214"/>
      <c r="JF53" s="214"/>
      <c r="JG53" s="214"/>
      <c r="JH53" s="214"/>
      <c r="JI53" s="214"/>
    </row>
    <row r="54" spans="1:269">
      <c r="A54" s="214"/>
      <c r="B54" s="214"/>
      <c r="C54" s="214"/>
      <c r="D54" s="214"/>
      <c r="E54" s="214"/>
      <c r="F54" s="214"/>
      <c r="G54" s="214"/>
      <c r="H54" s="214"/>
      <c r="I54" s="214"/>
      <c r="J54" s="214"/>
      <c r="K54" s="214"/>
      <c r="L54" s="214"/>
      <c r="M54" s="214"/>
      <c r="N54" s="214"/>
      <c r="O54" s="214"/>
      <c r="P54" s="214"/>
      <c r="Q54" s="214"/>
      <c r="R54" s="214"/>
      <c r="S54" s="214"/>
      <c r="T54" s="214"/>
      <c r="U54" s="214"/>
      <c r="V54" s="214"/>
      <c r="W54" s="214"/>
      <c r="X54" s="214"/>
      <c r="Y54" s="214"/>
      <c r="Z54" s="214"/>
      <c r="AA54" s="214"/>
      <c r="AB54" s="214"/>
      <c r="AC54" s="214"/>
      <c r="AD54" s="214"/>
      <c r="AE54" s="214"/>
      <c r="AF54" s="214"/>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4"/>
      <c r="CG54" s="214"/>
      <c r="CH54" s="214"/>
      <c r="CI54" s="214"/>
      <c r="CJ54" s="214"/>
      <c r="CK54" s="214"/>
      <c r="CL54" s="214"/>
      <c r="CM54" s="214"/>
      <c r="CN54" s="214"/>
      <c r="CO54" s="214"/>
      <c r="CP54" s="214"/>
      <c r="CQ54" s="214"/>
      <c r="CR54" s="214"/>
      <c r="CS54" s="214"/>
      <c r="CT54" s="214"/>
      <c r="CU54" s="214"/>
      <c r="CV54" s="214"/>
      <c r="CW54" s="214"/>
      <c r="CX54" s="214"/>
      <c r="CY54" s="214"/>
      <c r="CZ54" s="214"/>
      <c r="DA54" s="214"/>
      <c r="DB54" s="214"/>
      <c r="DC54" s="214"/>
      <c r="DD54" s="214"/>
      <c r="DE54" s="214"/>
      <c r="DF54" s="214"/>
      <c r="DG54" s="214"/>
      <c r="DH54" s="214"/>
      <c r="DI54" s="214"/>
      <c r="DJ54" s="214"/>
      <c r="DK54" s="214"/>
      <c r="DL54" s="214"/>
      <c r="DM54" s="214"/>
      <c r="DN54" s="214"/>
      <c r="DO54" s="214"/>
      <c r="DP54" s="214"/>
      <c r="DQ54" s="214"/>
      <c r="DR54" s="214"/>
      <c r="DS54" s="214"/>
      <c r="DT54" s="214"/>
      <c r="DU54" s="214"/>
      <c r="DV54" s="214"/>
      <c r="DW54" s="214"/>
      <c r="DX54" s="214"/>
      <c r="DY54" s="214"/>
      <c r="DZ54" s="214"/>
      <c r="EA54" s="214"/>
      <c r="EB54" s="214"/>
      <c r="EC54" s="214"/>
      <c r="ED54" s="214"/>
      <c r="EE54" s="214"/>
      <c r="EF54" s="214"/>
      <c r="EG54" s="214"/>
      <c r="EH54" s="214"/>
      <c r="EI54" s="214"/>
      <c r="EJ54" s="214"/>
      <c r="EK54" s="214"/>
      <c r="EL54" s="214"/>
      <c r="EM54" s="214"/>
      <c r="EN54" s="214"/>
      <c r="EO54" s="214"/>
      <c r="EP54" s="214"/>
      <c r="EQ54" s="214"/>
      <c r="ER54" s="214"/>
      <c r="ES54" s="214"/>
      <c r="ET54" s="214"/>
      <c r="EU54" s="214"/>
      <c r="EV54" s="214"/>
      <c r="EW54" s="214"/>
      <c r="EX54" s="214"/>
      <c r="EY54" s="214"/>
      <c r="EZ54" s="214"/>
      <c r="FA54" s="214"/>
      <c r="FB54" s="214"/>
      <c r="FC54" s="214"/>
      <c r="FD54" s="214"/>
      <c r="FE54" s="214"/>
      <c r="FF54" s="214"/>
      <c r="FG54" s="214"/>
      <c r="FH54" s="214"/>
      <c r="FI54" s="214"/>
      <c r="FJ54" s="214"/>
      <c r="FK54" s="214"/>
      <c r="FL54" s="214"/>
      <c r="FM54" s="214"/>
      <c r="FN54" s="214"/>
      <c r="FO54" s="214"/>
      <c r="FP54" s="214"/>
      <c r="FQ54" s="214"/>
      <c r="FR54" s="214"/>
      <c r="FS54" s="214"/>
      <c r="FT54" s="214"/>
      <c r="FU54" s="214"/>
      <c r="FV54" s="214"/>
      <c r="FW54" s="214"/>
      <c r="FX54" s="214"/>
      <c r="FY54" s="214"/>
      <c r="FZ54" s="214"/>
      <c r="GA54" s="214"/>
      <c r="GB54" s="214"/>
      <c r="GC54" s="214"/>
      <c r="GD54" s="214"/>
      <c r="GE54" s="214"/>
      <c r="GF54" s="214"/>
      <c r="GG54" s="214"/>
      <c r="GH54" s="214"/>
      <c r="GI54" s="214"/>
      <c r="GJ54" s="214"/>
      <c r="GK54" s="214"/>
      <c r="GL54" s="214"/>
      <c r="GM54" s="214"/>
      <c r="GN54" s="214"/>
      <c r="GO54" s="214"/>
      <c r="GP54" s="214"/>
      <c r="GQ54" s="214"/>
      <c r="GR54" s="214"/>
      <c r="GS54" s="214"/>
      <c r="GT54" s="214"/>
      <c r="GU54" s="214"/>
      <c r="GV54" s="214"/>
      <c r="GW54" s="214"/>
      <c r="GX54" s="214"/>
      <c r="GY54" s="214"/>
      <c r="GZ54" s="214"/>
      <c r="HA54" s="214"/>
      <c r="HB54" s="214"/>
      <c r="HC54" s="214"/>
      <c r="HD54" s="214"/>
      <c r="HE54" s="214"/>
      <c r="HF54" s="214"/>
      <c r="HG54" s="214"/>
      <c r="HH54" s="214"/>
      <c r="HI54" s="214"/>
      <c r="HJ54" s="214"/>
      <c r="HK54" s="214"/>
      <c r="HL54" s="214"/>
      <c r="HM54" s="214"/>
      <c r="HN54" s="214"/>
      <c r="HO54" s="214"/>
      <c r="HP54" s="214"/>
      <c r="HQ54" s="214"/>
      <c r="HR54" s="214"/>
      <c r="HS54" s="214"/>
      <c r="HT54" s="214"/>
      <c r="HU54" s="214"/>
      <c r="HV54" s="214"/>
      <c r="HW54" s="214"/>
      <c r="HX54" s="214"/>
      <c r="HY54" s="214"/>
      <c r="HZ54" s="214"/>
      <c r="IA54" s="214"/>
      <c r="IB54" s="214"/>
      <c r="IC54" s="214"/>
      <c r="ID54" s="214"/>
      <c r="IE54" s="214"/>
      <c r="IF54" s="214"/>
      <c r="IG54" s="214"/>
      <c r="IH54" s="214"/>
      <c r="II54" s="214"/>
      <c r="IJ54" s="214"/>
      <c r="IK54" s="214"/>
      <c r="IL54" s="214"/>
      <c r="IM54" s="214"/>
      <c r="IN54" s="214"/>
      <c r="IO54" s="214"/>
      <c r="IP54" s="214"/>
      <c r="IQ54" s="214"/>
      <c r="IR54" s="214"/>
      <c r="IS54" s="214"/>
      <c r="IT54" s="214"/>
      <c r="IU54" s="214"/>
      <c r="IV54" s="214"/>
      <c r="IW54" s="214"/>
      <c r="IX54" s="214"/>
      <c r="IY54" s="214"/>
      <c r="IZ54" s="214"/>
      <c r="JA54" s="214"/>
      <c r="JB54" s="214"/>
      <c r="JC54" s="214"/>
      <c r="JD54" s="214"/>
      <c r="JE54" s="214"/>
      <c r="JF54" s="214"/>
      <c r="JG54" s="214"/>
      <c r="JH54" s="214"/>
      <c r="JI54" s="214"/>
    </row>
    <row r="55" spans="1:269">
      <c r="A55" s="224"/>
      <c r="B55" s="214"/>
      <c r="C55" s="214"/>
      <c r="D55" s="214"/>
      <c r="E55" s="214"/>
      <c r="F55" s="214"/>
      <c r="G55" s="214"/>
      <c r="H55" s="214"/>
      <c r="I55" s="214"/>
      <c r="J55" s="214"/>
      <c r="K55" s="214"/>
      <c r="L55" s="214"/>
      <c r="M55" s="214"/>
      <c r="N55" s="214"/>
      <c r="O55" s="214"/>
      <c r="P55" s="214"/>
      <c r="Q55" s="214"/>
      <c r="R55" s="214"/>
      <c r="S55" s="214"/>
      <c r="T55" s="214"/>
      <c r="U55" s="214"/>
      <c r="V55" s="214"/>
      <c r="W55" s="214"/>
      <c r="X55" s="214"/>
      <c r="Y55" s="214"/>
      <c r="Z55" s="214"/>
      <c r="AA55" s="214"/>
      <c r="AB55" s="214"/>
      <c r="AC55" s="214"/>
      <c r="AD55" s="214"/>
      <c r="AE55" s="214"/>
      <c r="AF55" s="214"/>
      <c r="AG55" s="214"/>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c r="CG55" s="214"/>
      <c r="CH55" s="214"/>
      <c r="CI55" s="214"/>
      <c r="CJ55" s="214"/>
      <c r="CK55" s="214"/>
      <c r="CL55" s="214"/>
      <c r="CM55" s="214"/>
      <c r="CN55" s="214"/>
      <c r="CO55" s="214"/>
      <c r="CP55" s="214"/>
      <c r="CQ55" s="214"/>
      <c r="CR55" s="214"/>
      <c r="CS55" s="214"/>
      <c r="CT55" s="214"/>
      <c r="CU55" s="214"/>
      <c r="CV55" s="214"/>
      <c r="CW55" s="214"/>
      <c r="CX55" s="214"/>
      <c r="CY55" s="214"/>
      <c r="CZ55" s="214"/>
      <c r="DA55" s="214"/>
      <c r="DB55" s="214"/>
      <c r="DC55" s="214"/>
      <c r="DD55" s="214"/>
      <c r="DE55" s="214"/>
      <c r="DF55" s="214"/>
      <c r="DG55" s="214"/>
      <c r="DH55" s="214"/>
      <c r="DI55" s="214"/>
      <c r="DJ55" s="214"/>
      <c r="DK55" s="214"/>
      <c r="DL55" s="214"/>
      <c r="DM55" s="214"/>
      <c r="DN55" s="214"/>
      <c r="DO55" s="214"/>
      <c r="DP55" s="214"/>
      <c r="DQ55" s="214"/>
      <c r="DR55" s="214"/>
      <c r="DS55" s="214"/>
      <c r="DT55" s="214"/>
      <c r="DU55" s="214"/>
      <c r="DV55" s="214"/>
      <c r="DW55" s="214"/>
      <c r="DX55" s="214"/>
      <c r="DY55" s="214"/>
      <c r="DZ55" s="214"/>
      <c r="EA55" s="214"/>
      <c r="EB55" s="214"/>
      <c r="EC55" s="214"/>
      <c r="ED55" s="214"/>
      <c r="EE55" s="214"/>
      <c r="EF55" s="214"/>
      <c r="EG55" s="214"/>
      <c r="EH55" s="214"/>
      <c r="EI55" s="214"/>
      <c r="EJ55" s="214"/>
      <c r="EK55" s="214"/>
      <c r="EL55" s="214"/>
      <c r="EM55" s="214"/>
      <c r="EN55" s="214"/>
      <c r="EO55" s="214"/>
      <c r="EP55" s="214"/>
      <c r="EQ55" s="214"/>
      <c r="ER55" s="214"/>
      <c r="ES55" s="214"/>
      <c r="ET55" s="214"/>
      <c r="EU55" s="214"/>
      <c r="EV55" s="214"/>
      <c r="EW55" s="214"/>
      <c r="EX55" s="214"/>
      <c r="EY55" s="214"/>
      <c r="EZ55" s="214"/>
      <c r="FA55" s="214"/>
      <c r="FB55" s="214"/>
      <c r="FC55" s="214"/>
      <c r="FD55" s="214"/>
      <c r="FE55" s="214"/>
      <c r="FF55" s="214"/>
      <c r="FG55" s="214"/>
      <c r="FH55" s="214"/>
      <c r="FI55" s="214"/>
      <c r="FJ55" s="214"/>
      <c r="FK55" s="214"/>
      <c r="FL55" s="214"/>
      <c r="FM55" s="214"/>
      <c r="FN55" s="214"/>
      <c r="FO55" s="214"/>
      <c r="FP55" s="214"/>
      <c r="FQ55" s="214"/>
      <c r="FR55" s="214"/>
      <c r="FS55" s="214"/>
      <c r="FT55" s="214"/>
      <c r="FU55" s="214"/>
      <c r="FV55" s="214"/>
      <c r="FW55" s="214"/>
      <c r="FX55" s="214"/>
      <c r="FY55" s="214"/>
      <c r="FZ55" s="214"/>
      <c r="GA55" s="214"/>
      <c r="GB55" s="214"/>
      <c r="GC55" s="214"/>
      <c r="GD55" s="214"/>
      <c r="GE55" s="214"/>
      <c r="GF55" s="214"/>
      <c r="GG55" s="214"/>
      <c r="GH55" s="214"/>
      <c r="GI55" s="214"/>
      <c r="GJ55" s="214"/>
      <c r="GK55" s="214"/>
      <c r="GL55" s="214"/>
      <c r="GM55" s="214"/>
      <c r="GN55" s="214"/>
      <c r="GO55" s="214"/>
      <c r="GP55" s="214"/>
      <c r="GQ55" s="214"/>
      <c r="GR55" s="214"/>
      <c r="GS55" s="214"/>
      <c r="GT55" s="214"/>
      <c r="GU55" s="214"/>
      <c r="GV55" s="214"/>
      <c r="GW55" s="214"/>
      <c r="GX55" s="214"/>
      <c r="GY55" s="214"/>
      <c r="GZ55" s="214"/>
      <c r="HA55" s="214"/>
      <c r="HB55" s="214"/>
      <c r="HC55" s="214"/>
      <c r="HD55" s="214"/>
      <c r="HE55" s="214"/>
      <c r="HF55" s="214"/>
      <c r="HG55" s="214"/>
      <c r="HH55" s="214"/>
      <c r="HI55" s="214"/>
      <c r="HJ55" s="214"/>
      <c r="HK55" s="214"/>
      <c r="HL55" s="214"/>
      <c r="HM55" s="214"/>
      <c r="HN55" s="214"/>
      <c r="HO55" s="214"/>
      <c r="HP55" s="214"/>
      <c r="HQ55" s="214"/>
      <c r="HR55" s="214"/>
      <c r="HS55" s="214"/>
      <c r="HT55" s="214"/>
      <c r="HU55" s="214"/>
      <c r="HV55" s="214"/>
      <c r="HW55" s="214"/>
      <c r="HX55" s="214"/>
      <c r="HY55" s="214"/>
      <c r="HZ55" s="214"/>
      <c r="IA55" s="214"/>
      <c r="IB55" s="214"/>
      <c r="IC55" s="214"/>
      <c r="ID55" s="214"/>
      <c r="IE55" s="214"/>
      <c r="IF55" s="214"/>
      <c r="IG55" s="214"/>
      <c r="IH55" s="214"/>
      <c r="II55" s="214"/>
      <c r="IJ55" s="214"/>
      <c r="IK55" s="214"/>
      <c r="IL55" s="214"/>
      <c r="IM55" s="214"/>
      <c r="IN55" s="214"/>
      <c r="IO55" s="214"/>
      <c r="IP55" s="214"/>
      <c r="IQ55" s="214"/>
      <c r="IR55" s="214"/>
      <c r="IS55" s="214"/>
      <c r="IT55" s="214"/>
      <c r="IU55" s="214"/>
      <c r="IV55" s="214"/>
      <c r="IW55" s="214"/>
      <c r="IX55" s="214"/>
      <c r="IY55" s="214"/>
      <c r="IZ55" s="214"/>
      <c r="JA55" s="214"/>
      <c r="JB55" s="214"/>
      <c r="JC55" s="214"/>
      <c r="JD55" s="214"/>
      <c r="JE55" s="214"/>
      <c r="JF55" s="214"/>
      <c r="JG55" s="214"/>
      <c r="JH55" s="214"/>
      <c r="JI55" s="214"/>
    </row>
    <row r="56" spans="1:269">
      <c r="A56" s="215"/>
      <c r="B56" s="155"/>
      <c r="C56" s="225"/>
      <c r="D56" s="226"/>
      <c r="E56" s="214"/>
      <c r="F56" s="214"/>
      <c r="G56" s="214"/>
      <c r="H56" s="214"/>
      <c r="I56" s="214"/>
      <c r="J56" s="214"/>
      <c r="K56" s="214"/>
      <c r="L56" s="214"/>
      <c r="M56" s="214"/>
      <c r="N56" s="214"/>
      <c r="O56" s="214"/>
      <c r="P56" s="214"/>
      <c r="Q56" s="214"/>
      <c r="R56" s="214"/>
      <c r="S56" s="214"/>
      <c r="T56" s="214"/>
      <c r="U56" s="214"/>
      <c r="V56" s="214"/>
      <c r="W56" s="214"/>
      <c r="X56" s="214"/>
      <c r="Y56" s="214"/>
      <c r="Z56" s="214"/>
      <c r="AA56" s="214"/>
      <c r="AB56" s="214"/>
      <c r="AC56" s="214"/>
      <c r="AD56" s="214"/>
      <c r="AE56" s="214"/>
      <c r="AF56" s="214"/>
      <c r="AG56" s="214"/>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c r="CE56" s="214"/>
      <c r="CF56" s="214"/>
      <c r="CG56" s="214"/>
      <c r="CH56" s="214"/>
      <c r="CI56" s="214"/>
      <c r="CJ56" s="214"/>
      <c r="CK56" s="214"/>
      <c r="CL56" s="214"/>
      <c r="CM56" s="214"/>
      <c r="CN56" s="214"/>
      <c r="CO56" s="214"/>
      <c r="CP56" s="214"/>
      <c r="CQ56" s="214"/>
      <c r="CR56" s="214"/>
      <c r="CS56" s="214"/>
      <c r="CT56" s="214"/>
      <c r="CU56" s="214"/>
      <c r="CV56" s="214"/>
      <c r="CW56" s="214"/>
      <c r="CX56" s="214"/>
      <c r="CY56" s="214"/>
      <c r="CZ56" s="214"/>
      <c r="DA56" s="214"/>
      <c r="DB56" s="214"/>
      <c r="DC56" s="214"/>
      <c r="DD56" s="214"/>
      <c r="DE56" s="214"/>
      <c r="DF56" s="214"/>
      <c r="DG56" s="214"/>
      <c r="DH56" s="214"/>
      <c r="DI56" s="214"/>
      <c r="DJ56" s="214"/>
      <c r="DK56" s="214"/>
      <c r="DL56" s="214"/>
      <c r="DM56" s="214"/>
      <c r="DN56" s="214"/>
      <c r="DO56" s="214"/>
      <c r="DP56" s="214"/>
      <c r="DQ56" s="214"/>
      <c r="DR56" s="214"/>
      <c r="DS56" s="214"/>
      <c r="DT56" s="214"/>
      <c r="DU56" s="214"/>
      <c r="DV56" s="214"/>
      <c r="DW56" s="214"/>
      <c r="DX56" s="214"/>
      <c r="DY56" s="214"/>
      <c r="DZ56" s="214"/>
      <c r="EA56" s="214"/>
      <c r="EB56" s="214"/>
      <c r="EC56" s="214"/>
      <c r="ED56" s="214"/>
      <c r="EE56" s="214"/>
      <c r="EF56" s="214"/>
      <c r="EG56" s="214"/>
      <c r="EH56" s="214"/>
      <c r="EI56" s="214"/>
      <c r="EJ56" s="214"/>
      <c r="EK56" s="214"/>
      <c r="EL56" s="214"/>
      <c r="EM56" s="214"/>
      <c r="EN56" s="214"/>
      <c r="EO56" s="214"/>
      <c r="EP56" s="214"/>
      <c r="EQ56" s="214"/>
      <c r="ER56" s="214"/>
      <c r="ES56" s="214"/>
      <c r="ET56" s="214"/>
      <c r="EU56" s="214"/>
      <c r="EV56" s="214"/>
      <c r="EW56" s="214"/>
      <c r="EX56" s="214"/>
      <c r="EY56" s="214"/>
      <c r="EZ56" s="214"/>
      <c r="FA56" s="214"/>
      <c r="FB56" s="214"/>
      <c r="FC56" s="214"/>
      <c r="FD56" s="214"/>
      <c r="FE56" s="214"/>
      <c r="FF56" s="214"/>
      <c r="FG56" s="214"/>
      <c r="FH56" s="214"/>
      <c r="FI56" s="214"/>
      <c r="FJ56" s="214"/>
      <c r="FK56" s="214"/>
      <c r="FL56" s="214"/>
      <c r="FM56" s="214"/>
      <c r="FN56" s="214"/>
      <c r="FO56" s="214"/>
      <c r="FP56" s="214"/>
      <c r="FQ56" s="214"/>
      <c r="FR56" s="214"/>
      <c r="FS56" s="214"/>
      <c r="FT56" s="214"/>
      <c r="FU56" s="214"/>
      <c r="FV56" s="214"/>
      <c r="FW56" s="214"/>
      <c r="FX56" s="214"/>
      <c r="FY56" s="214"/>
      <c r="FZ56" s="214"/>
      <c r="GA56" s="214"/>
      <c r="GB56" s="214"/>
      <c r="GC56" s="214"/>
      <c r="GD56" s="214"/>
      <c r="GE56" s="214"/>
      <c r="GF56" s="214"/>
      <c r="GG56" s="214"/>
      <c r="GH56" s="214"/>
      <c r="GI56" s="214"/>
      <c r="GJ56" s="214"/>
      <c r="GK56" s="214"/>
      <c r="GL56" s="214"/>
      <c r="GM56" s="214"/>
      <c r="GN56" s="214"/>
      <c r="GO56" s="214"/>
      <c r="GP56" s="214"/>
      <c r="GQ56" s="214"/>
      <c r="GR56" s="214"/>
      <c r="GS56" s="214"/>
      <c r="GT56" s="214"/>
      <c r="GU56" s="214"/>
      <c r="GV56" s="214"/>
      <c r="GW56" s="214"/>
      <c r="GX56" s="214"/>
      <c r="GY56" s="214"/>
      <c r="GZ56" s="214"/>
      <c r="HA56" s="214"/>
      <c r="HB56" s="214"/>
      <c r="HC56" s="214"/>
      <c r="HD56" s="214"/>
      <c r="HE56" s="214"/>
      <c r="HF56" s="214"/>
      <c r="HG56" s="214"/>
      <c r="HH56" s="214"/>
      <c r="HI56" s="214"/>
      <c r="HJ56" s="214"/>
      <c r="HK56" s="214"/>
      <c r="HL56" s="214"/>
      <c r="HM56" s="214"/>
      <c r="HN56" s="214"/>
      <c r="HO56" s="214"/>
      <c r="HP56" s="214"/>
      <c r="HQ56" s="214"/>
      <c r="HR56" s="214"/>
      <c r="HS56" s="214"/>
      <c r="HT56" s="214"/>
      <c r="HU56" s="214"/>
      <c r="HV56" s="214"/>
      <c r="HW56" s="214"/>
      <c r="HX56" s="214"/>
      <c r="HY56" s="214"/>
      <c r="HZ56" s="214"/>
      <c r="IA56" s="214"/>
      <c r="IB56" s="214"/>
      <c r="IC56" s="214"/>
      <c r="ID56" s="214"/>
      <c r="IE56" s="214"/>
      <c r="IF56" s="214"/>
      <c r="IG56" s="214"/>
      <c r="IH56" s="214"/>
      <c r="II56" s="214"/>
      <c r="IJ56" s="214"/>
      <c r="IK56" s="214"/>
      <c r="IL56" s="214"/>
      <c r="IM56" s="214"/>
      <c r="IN56" s="214"/>
      <c r="IO56" s="214"/>
      <c r="IP56" s="214"/>
      <c r="IQ56" s="214"/>
      <c r="IR56" s="214"/>
      <c r="IS56" s="214"/>
      <c r="IT56" s="214"/>
      <c r="IU56" s="214"/>
      <c r="IV56" s="214"/>
      <c r="IW56" s="214"/>
      <c r="IX56" s="214"/>
      <c r="IY56" s="214"/>
      <c r="IZ56" s="214"/>
      <c r="JA56" s="214"/>
      <c r="JB56" s="214"/>
      <c r="JC56" s="214"/>
      <c r="JD56" s="214"/>
      <c r="JE56" s="214"/>
      <c r="JF56" s="214"/>
      <c r="JG56" s="214"/>
      <c r="JH56" s="214"/>
      <c r="JI56" s="214"/>
    </row>
    <row r="57" spans="1:269">
      <c r="A57" s="149"/>
      <c r="B57" s="157"/>
      <c r="C57" s="157"/>
      <c r="D57" s="406"/>
      <c r="E57" s="214"/>
      <c r="F57" s="214"/>
      <c r="G57" s="214"/>
      <c r="H57" s="214"/>
      <c r="I57" s="214"/>
      <c r="J57" s="214"/>
      <c r="K57" s="214"/>
      <c r="L57" s="214"/>
      <c r="M57" s="214"/>
      <c r="N57" s="214"/>
      <c r="O57" s="214"/>
      <c r="P57" s="214"/>
      <c r="Q57" s="214"/>
      <c r="R57" s="214"/>
      <c r="S57" s="214"/>
      <c r="T57" s="214"/>
      <c r="U57" s="214"/>
      <c r="V57" s="214"/>
      <c r="W57" s="214"/>
      <c r="X57" s="214"/>
      <c r="Y57" s="214"/>
      <c r="Z57" s="214"/>
      <c r="AA57" s="214"/>
      <c r="AB57" s="214"/>
      <c r="AC57" s="214"/>
      <c r="AD57" s="214"/>
      <c r="AE57" s="214"/>
      <c r="AF57" s="214"/>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c r="BY57" s="214"/>
      <c r="BZ57" s="214"/>
      <c r="CA57" s="214"/>
      <c r="CB57" s="214"/>
      <c r="CC57" s="214"/>
      <c r="CD57" s="214"/>
      <c r="CE57" s="214"/>
      <c r="CF57" s="214"/>
      <c r="CG57" s="214"/>
      <c r="CH57" s="214"/>
      <c r="CI57" s="214"/>
      <c r="CJ57" s="214"/>
      <c r="CK57" s="214"/>
      <c r="CL57" s="214"/>
      <c r="CM57" s="214"/>
      <c r="CN57" s="214"/>
      <c r="CO57" s="214"/>
      <c r="CP57" s="214"/>
      <c r="CQ57" s="214"/>
      <c r="CR57" s="214"/>
      <c r="CS57" s="214"/>
      <c r="CT57" s="214"/>
      <c r="CU57" s="214"/>
      <c r="CV57" s="214"/>
      <c r="CW57" s="214"/>
      <c r="CX57" s="214"/>
      <c r="CY57" s="214"/>
      <c r="CZ57" s="214"/>
      <c r="DA57" s="214"/>
      <c r="DB57" s="214"/>
      <c r="DC57" s="214"/>
      <c r="DD57" s="214"/>
      <c r="DE57" s="214"/>
      <c r="DF57" s="214"/>
      <c r="DG57" s="214"/>
      <c r="DH57" s="214"/>
      <c r="DI57" s="214"/>
      <c r="DJ57" s="214"/>
      <c r="DK57" s="214"/>
      <c r="DL57" s="214"/>
      <c r="DM57" s="214"/>
      <c r="DN57" s="214"/>
      <c r="DO57" s="214"/>
      <c r="DP57" s="214"/>
      <c r="DQ57" s="214"/>
      <c r="DR57" s="214"/>
      <c r="DS57" s="214"/>
      <c r="DT57" s="214"/>
      <c r="DU57" s="214"/>
      <c r="DV57" s="214"/>
      <c r="DW57" s="214"/>
      <c r="DX57" s="214"/>
      <c r="DY57" s="214"/>
      <c r="DZ57" s="214"/>
      <c r="EA57" s="214"/>
      <c r="EB57" s="214"/>
      <c r="EC57" s="214"/>
      <c r="ED57" s="214"/>
      <c r="EE57" s="214"/>
      <c r="EF57" s="214"/>
      <c r="EG57" s="214"/>
      <c r="EH57" s="214"/>
      <c r="EI57" s="214"/>
      <c r="EJ57" s="214"/>
      <c r="EK57" s="214"/>
      <c r="EL57" s="214"/>
      <c r="EM57" s="214"/>
      <c r="EN57" s="214"/>
      <c r="EO57" s="214"/>
      <c r="EP57" s="214"/>
      <c r="EQ57" s="214"/>
      <c r="ER57" s="214"/>
      <c r="ES57" s="214"/>
      <c r="ET57" s="214"/>
      <c r="EU57" s="214"/>
      <c r="EV57" s="214"/>
      <c r="EW57" s="214"/>
      <c r="EX57" s="214"/>
      <c r="EY57" s="214"/>
      <c r="EZ57" s="214"/>
      <c r="FA57" s="214"/>
      <c r="FB57" s="214"/>
      <c r="FC57" s="214"/>
      <c r="FD57" s="214"/>
      <c r="FE57" s="214"/>
      <c r="FF57" s="214"/>
      <c r="FG57" s="214"/>
      <c r="FH57" s="214"/>
      <c r="FI57" s="214"/>
      <c r="FJ57" s="214"/>
      <c r="FK57" s="214"/>
      <c r="FL57" s="214"/>
      <c r="FM57" s="214"/>
      <c r="FN57" s="214"/>
      <c r="FO57" s="214"/>
      <c r="FP57" s="214"/>
      <c r="FQ57" s="214"/>
      <c r="FR57" s="214"/>
      <c r="FS57" s="214"/>
      <c r="FT57" s="214"/>
      <c r="FU57" s="214"/>
      <c r="FV57" s="214"/>
      <c r="FW57" s="214"/>
      <c r="FX57" s="214"/>
      <c r="FY57" s="214"/>
      <c r="FZ57" s="214"/>
      <c r="GA57" s="214"/>
      <c r="GB57" s="214"/>
      <c r="GC57" s="214"/>
      <c r="GD57" s="214"/>
      <c r="GE57" s="214"/>
      <c r="GF57" s="214"/>
      <c r="GG57" s="214"/>
      <c r="GH57" s="214"/>
      <c r="GI57" s="214"/>
      <c r="GJ57" s="214"/>
      <c r="GK57" s="214"/>
      <c r="GL57" s="214"/>
      <c r="GM57" s="214"/>
      <c r="GN57" s="214"/>
      <c r="GO57" s="214"/>
      <c r="GP57" s="214"/>
      <c r="GQ57" s="214"/>
      <c r="GR57" s="214"/>
      <c r="GS57" s="214"/>
      <c r="GT57" s="214"/>
      <c r="GU57" s="214"/>
      <c r="GV57" s="214"/>
      <c r="GW57" s="214"/>
      <c r="GX57" s="214"/>
      <c r="GY57" s="214"/>
      <c r="GZ57" s="214"/>
      <c r="HA57" s="214"/>
      <c r="HB57" s="214"/>
      <c r="HC57" s="214"/>
      <c r="HD57" s="214"/>
      <c r="HE57" s="214"/>
      <c r="HF57" s="214"/>
      <c r="HG57" s="214"/>
      <c r="HH57" s="214"/>
      <c r="HI57" s="214"/>
      <c r="HJ57" s="214"/>
      <c r="HK57" s="214"/>
      <c r="HL57" s="214"/>
      <c r="HM57" s="214"/>
      <c r="HN57" s="214"/>
      <c r="HO57" s="214"/>
      <c r="HP57" s="214"/>
      <c r="HQ57" s="214"/>
      <c r="HR57" s="214"/>
      <c r="HS57" s="214"/>
      <c r="HT57" s="214"/>
      <c r="HU57" s="214"/>
      <c r="HV57" s="214"/>
      <c r="HW57" s="214"/>
      <c r="HX57" s="214"/>
      <c r="HY57" s="214"/>
      <c r="HZ57" s="214"/>
      <c r="IA57" s="214"/>
      <c r="IB57" s="214"/>
      <c r="IC57" s="214"/>
      <c r="ID57" s="214"/>
      <c r="IE57" s="214"/>
      <c r="IF57" s="214"/>
      <c r="IG57" s="214"/>
      <c r="IH57" s="214"/>
      <c r="II57" s="214"/>
      <c r="IJ57" s="214"/>
      <c r="IK57" s="214"/>
      <c r="IL57" s="214"/>
      <c r="IM57" s="214"/>
      <c r="IN57" s="214"/>
      <c r="IO57" s="214"/>
      <c r="IP57" s="214"/>
      <c r="IQ57" s="214"/>
      <c r="IR57" s="214"/>
      <c r="IS57" s="214"/>
      <c r="IT57" s="214"/>
      <c r="IU57" s="214"/>
      <c r="IV57" s="214"/>
      <c r="IW57" s="214"/>
      <c r="IX57" s="214"/>
      <c r="IY57" s="214"/>
      <c r="IZ57" s="214"/>
      <c r="JA57" s="214"/>
      <c r="JB57" s="214"/>
      <c r="JC57" s="214"/>
      <c r="JD57" s="214"/>
      <c r="JE57" s="214"/>
      <c r="JF57" s="214"/>
      <c r="JG57" s="214"/>
      <c r="JH57" s="214"/>
      <c r="JI57" s="214"/>
    </row>
    <row r="58" spans="1:269">
      <c r="A58" s="149"/>
      <c r="B58" s="152"/>
      <c r="C58" s="152"/>
      <c r="D58" s="305"/>
      <c r="E58" s="214"/>
      <c r="F58" s="214"/>
      <c r="G58" s="214"/>
      <c r="H58" s="214"/>
      <c r="I58" s="214"/>
      <c r="J58" s="214"/>
      <c r="K58" s="214"/>
      <c r="L58" s="214"/>
      <c r="M58" s="214"/>
      <c r="N58" s="214"/>
      <c r="O58" s="214"/>
      <c r="P58" s="214"/>
      <c r="Q58" s="214"/>
      <c r="R58" s="214"/>
      <c r="S58" s="214"/>
      <c r="T58" s="214"/>
      <c r="U58" s="214"/>
      <c r="V58" s="214"/>
      <c r="W58" s="214"/>
      <c r="X58" s="214"/>
      <c r="Y58" s="214"/>
      <c r="Z58" s="214"/>
      <c r="AA58" s="214"/>
      <c r="AB58" s="214"/>
      <c r="AC58" s="214"/>
      <c r="AD58" s="214"/>
      <c r="AE58" s="214"/>
      <c r="AF58" s="214"/>
      <c r="AG58" s="214"/>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c r="BY58" s="214"/>
      <c r="BZ58" s="214"/>
      <c r="CA58" s="214"/>
      <c r="CB58" s="214"/>
      <c r="CC58" s="214"/>
      <c r="CD58" s="214"/>
      <c r="CE58" s="214"/>
      <c r="CF58" s="214"/>
      <c r="CG58" s="214"/>
      <c r="CH58" s="214"/>
      <c r="CI58" s="214"/>
      <c r="CJ58" s="214"/>
      <c r="CK58" s="214"/>
      <c r="CL58" s="214"/>
      <c r="CM58" s="214"/>
      <c r="CN58" s="214"/>
      <c r="CO58" s="214"/>
      <c r="CP58" s="214"/>
      <c r="CQ58" s="214"/>
      <c r="CR58" s="214"/>
      <c r="CS58" s="214"/>
      <c r="CT58" s="214"/>
      <c r="CU58" s="214"/>
      <c r="CV58" s="214"/>
      <c r="CW58" s="214"/>
      <c r="CX58" s="214"/>
      <c r="CY58" s="214"/>
      <c r="CZ58" s="214"/>
      <c r="DA58" s="214"/>
      <c r="DB58" s="214"/>
      <c r="DC58" s="214"/>
      <c r="DD58" s="214"/>
      <c r="DE58" s="214"/>
      <c r="DF58" s="214"/>
      <c r="DG58" s="214"/>
      <c r="DH58" s="214"/>
      <c r="DI58" s="214"/>
      <c r="DJ58" s="214"/>
      <c r="DK58" s="214"/>
      <c r="DL58" s="214"/>
      <c r="DM58" s="214"/>
      <c r="DN58" s="214"/>
      <c r="DO58" s="214"/>
      <c r="DP58" s="214"/>
      <c r="DQ58" s="214"/>
      <c r="DR58" s="214"/>
      <c r="DS58" s="214"/>
      <c r="DT58" s="214"/>
      <c r="DU58" s="214"/>
      <c r="DV58" s="214"/>
      <c r="DW58" s="214"/>
      <c r="DX58" s="214"/>
      <c r="DY58" s="214"/>
      <c r="DZ58" s="214"/>
      <c r="EA58" s="214"/>
      <c r="EB58" s="214"/>
      <c r="EC58" s="214"/>
      <c r="ED58" s="214"/>
      <c r="EE58" s="214"/>
      <c r="EF58" s="214"/>
      <c r="EG58" s="214"/>
      <c r="EH58" s="214"/>
      <c r="EI58" s="214"/>
      <c r="EJ58" s="214"/>
      <c r="EK58" s="214"/>
      <c r="EL58" s="214"/>
      <c r="EM58" s="214"/>
      <c r="EN58" s="214"/>
      <c r="EO58" s="214"/>
      <c r="EP58" s="214"/>
      <c r="EQ58" s="214"/>
      <c r="ER58" s="214"/>
      <c r="ES58" s="214"/>
      <c r="ET58" s="214"/>
      <c r="EU58" s="214"/>
      <c r="EV58" s="214"/>
      <c r="EW58" s="214"/>
      <c r="EX58" s="214"/>
      <c r="EY58" s="214"/>
      <c r="EZ58" s="214"/>
      <c r="FA58" s="214"/>
      <c r="FB58" s="214"/>
      <c r="FC58" s="214"/>
      <c r="FD58" s="214"/>
      <c r="FE58" s="214"/>
      <c r="FF58" s="214"/>
      <c r="FG58" s="214"/>
      <c r="FH58" s="214"/>
      <c r="FI58" s="214"/>
      <c r="FJ58" s="214"/>
      <c r="FK58" s="214"/>
      <c r="FL58" s="214"/>
      <c r="FM58" s="214"/>
      <c r="FN58" s="214"/>
      <c r="FO58" s="214"/>
      <c r="FP58" s="214"/>
      <c r="FQ58" s="214"/>
      <c r="FR58" s="214"/>
      <c r="FS58" s="214"/>
      <c r="FT58" s="214"/>
      <c r="FU58" s="214"/>
      <c r="FV58" s="214"/>
      <c r="FW58" s="214"/>
      <c r="FX58" s="214"/>
      <c r="FY58" s="214"/>
      <c r="FZ58" s="214"/>
      <c r="GA58" s="214"/>
      <c r="GB58" s="214"/>
      <c r="GC58" s="214"/>
      <c r="GD58" s="214"/>
      <c r="GE58" s="214"/>
      <c r="GF58" s="214"/>
      <c r="GG58" s="214"/>
      <c r="GH58" s="214"/>
      <c r="GI58" s="214"/>
      <c r="GJ58" s="214"/>
      <c r="GK58" s="214"/>
      <c r="GL58" s="214"/>
      <c r="GM58" s="214"/>
      <c r="GN58" s="214"/>
      <c r="GO58" s="214"/>
      <c r="GP58" s="214"/>
      <c r="GQ58" s="214"/>
      <c r="GR58" s="214"/>
      <c r="GS58" s="214"/>
      <c r="GT58" s="214"/>
      <c r="GU58" s="214"/>
      <c r="GV58" s="214"/>
      <c r="GW58" s="214"/>
      <c r="GX58" s="214"/>
      <c r="GY58" s="214"/>
      <c r="GZ58" s="214"/>
      <c r="HA58" s="214"/>
      <c r="HB58" s="214"/>
      <c r="HC58" s="214"/>
      <c r="HD58" s="214"/>
      <c r="HE58" s="214"/>
      <c r="HF58" s="214"/>
      <c r="HG58" s="214"/>
      <c r="HH58" s="214"/>
      <c r="HI58" s="214"/>
      <c r="HJ58" s="214"/>
      <c r="HK58" s="214"/>
      <c r="HL58" s="214"/>
      <c r="HM58" s="214"/>
      <c r="HN58" s="214"/>
      <c r="HO58" s="214"/>
      <c r="HP58" s="214"/>
      <c r="HQ58" s="214"/>
      <c r="HR58" s="214"/>
      <c r="HS58" s="214"/>
      <c r="HT58" s="214"/>
      <c r="HU58" s="214"/>
      <c r="HV58" s="214"/>
      <c r="HW58" s="214"/>
      <c r="HX58" s="214"/>
      <c r="HY58" s="214"/>
      <c r="HZ58" s="214"/>
      <c r="IA58" s="214"/>
      <c r="IB58" s="214"/>
      <c r="IC58" s="214"/>
      <c r="ID58" s="214"/>
      <c r="IE58" s="214"/>
      <c r="IF58" s="214"/>
      <c r="IG58" s="214"/>
      <c r="IH58" s="214"/>
      <c r="II58" s="214"/>
      <c r="IJ58" s="214"/>
      <c r="IK58" s="214"/>
      <c r="IL58" s="214"/>
      <c r="IM58" s="214"/>
      <c r="IN58" s="214"/>
      <c r="IO58" s="214"/>
      <c r="IP58" s="214"/>
      <c r="IQ58" s="214"/>
      <c r="IR58" s="214"/>
      <c r="IS58" s="214"/>
      <c r="IT58" s="214"/>
      <c r="IU58" s="214"/>
      <c r="IV58" s="214"/>
      <c r="IW58" s="214"/>
      <c r="IX58" s="214"/>
      <c r="IY58" s="214"/>
      <c r="IZ58" s="214"/>
      <c r="JA58" s="214"/>
      <c r="JB58" s="214"/>
      <c r="JC58" s="214"/>
      <c r="JD58" s="214"/>
      <c r="JE58" s="214"/>
      <c r="JF58" s="214"/>
      <c r="JG58" s="214"/>
      <c r="JH58" s="214"/>
      <c r="JI58" s="214"/>
    </row>
    <row r="59" spans="1:269">
      <c r="A59" s="149"/>
      <c r="B59" s="152"/>
      <c r="C59" s="152"/>
      <c r="D59" s="305"/>
      <c r="E59" s="214"/>
      <c r="F59" s="214"/>
      <c r="G59" s="214"/>
      <c r="H59" s="214"/>
      <c r="I59" s="214"/>
      <c r="J59" s="214"/>
      <c r="K59" s="214"/>
      <c r="L59" s="214"/>
      <c r="M59" s="214"/>
      <c r="N59" s="214"/>
      <c r="O59" s="214"/>
      <c r="P59" s="214"/>
      <c r="Q59" s="214"/>
      <c r="R59" s="214"/>
      <c r="S59" s="214"/>
      <c r="T59" s="214"/>
      <c r="U59" s="214"/>
      <c r="V59" s="214"/>
      <c r="W59" s="214"/>
      <c r="X59" s="214"/>
      <c r="Y59" s="214"/>
      <c r="Z59" s="214"/>
      <c r="AA59" s="214"/>
      <c r="AB59" s="214"/>
      <c r="AC59" s="214"/>
      <c r="AD59" s="214"/>
      <c r="AE59" s="214"/>
      <c r="AF59" s="214"/>
      <c r="AG59" s="214"/>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4"/>
      <c r="CC59" s="214"/>
      <c r="CD59" s="214"/>
      <c r="CE59" s="214"/>
      <c r="CF59" s="214"/>
      <c r="CG59" s="214"/>
      <c r="CH59" s="214"/>
      <c r="CI59" s="214"/>
      <c r="CJ59" s="214"/>
      <c r="CK59" s="214"/>
      <c r="CL59" s="214"/>
      <c r="CM59" s="214"/>
      <c r="CN59" s="214"/>
      <c r="CO59" s="214"/>
      <c r="CP59" s="214"/>
      <c r="CQ59" s="214"/>
      <c r="CR59" s="214"/>
      <c r="CS59" s="214"/>
      <c r="CT59" s="214"/>
      <c r="CU59" s="214"/>
      <c r="CV59" s="214"/>
      <c r="CW59" s="214"/>
      <c r="CX59" s="214"/>
      <c r="CY59" s="214"/>
      <c r="CZ59" s="214"/>
      <c r="DA59" s="214"/>
      <c r="DB59" s="214"/>
      <c r="DC59" s="214"/>
      <c r="DD59" s="214"/>
      <c r="DE59" s="214"/>
      <c r="DF59" s="214"/>
      <c r="DG59" s="214"/>
      <c r="DH59" s="214"/>
      <c r="DI59" s="214"/>
      <c r="DJ59" s="214"/>
      <c r="DK59" s="214"/>
      <c r="DL59" s="214"/>
      <c r="DM59" s="214"/>
      <c r="DN59" s="214"/>
      <c r="DO59" s="214"/>
      <c r="DP59" s="214"/>
      <c r="DQ59" s="214"/>
      <c r="DR59" s="214"/>
      <c r="DS59" s="214"/>
      <c r="DT59" s="214"/>
      <c r="DU59" s="214"/>
      <c r="DV59" s="214"/>
      <c r="DW59" s="214"/>
      <c r="DX59" s="214"/>
      <c r="DY59" s="214"/>
      <c r="DZ59" s="214"/>
      <c r="EA59" s="214"/>
      <c r="EB59" s="214"/>
      <c r="EC59" s="214"/>
      <c r="ED59" s="214"/>
      <c r="EE59" s="214"/>
      <c r="EF59" s="214"/>
      <c r="EG59" s="214"/>
      <c r="EH59" s="214"/>
      <c r="EI59" s="214"/>
      <c r="EJ59" s="214"/>
      <c r="EK59" s="214"/>
      <c r="EL59" s="214"/>
      <c r="EM59" s="214"/>
      <c r="EN59" s="214"/>
      <c r="EO59" s="214"/>
      <c r="EP59" s="214"/>
      <c r="EQ59" s="214"/>
      <c r="ER59" s="214"/>
      <c r="ES59" s="214"/>
      <c r="ET59" s="214"/>
      <c r="EU59" s="214"/>
      <c r="EV59" s="214"/>
      <c r="EW59" s="214"/>
      <c r="EX59" s="214"/>
      <c r="EY59" s="214"/>
      <c r="EZ59" s="214"/>
      <c r="FA59" s="214"/>
      <c r="FB59" s="214"/>
      <c r="FC59" s="214"/>
      <c r="FD59" s="214"/>
      <c r="FE59" s="214"/>
      <c r="FF59" s="214"/>
      <c r="FG59" s="214"/>
      <c r="FH59" s="214"/>
      <c r="FI59" s="214"/>
      <c r="FJ59" s="214"/>
      <c r="FK59" s="214"/>
      <c r="FL59" s="214"/>
      <c r="FM59" s="214"/>
      <c r="FN59" s="214"/>
      <c r="FO59" s="214"/>
      <c r="FP59" s="214"/>
      <c r="FQ59" s="214"/>
      <c r="FR59" s="214"/>
      <c r="FS59" s="214"/>
      <c r="FT59" s="214"/>
      <c r="FU59" s="214"/>
      <c r="FV59" s="214"/>
      <c r="FW59" s="214"/>
      <c r="FX59" s="214"/>
      <c r="FY59" s="214"/>
      <c r="FZ59" s="214"/>
      <c r="GA59" s="214"/>
      <c r="GB59" s="214"/>
      <c r="GC59" s="214"/>
      <c r="GD59" s="214"/>
      <c r="GE59" s="214"/>
      <c r="GF59" s="214"/>
      <c r="GG59" s="214"/>
      <c r="GH59" s="214"/>
      <c r="GI59" s="214"/>
      <c r="GJ59" s="214"/>
      <c r="GK59" s="214"/>
      <c r="GL59" s="214"/>
      <c r="GM59" s="214"/>
      <c r="GN59" s="214"/>
      <c r="GO59" s="214"/>
      <c r="GP59" s="214"/>
      <c r="GQ59" s="214"/>
      <c r="GR59" s="214"/>
      <c r="GS59" s="214"/>
      <c r="GT59" s="214"/>
      <c r="GU59" s="214"/>
      <c r="GV59" s="214"/>
      <c r="GW59" s="214"/>
      <c r="GX59" s="214"/>
      <c r="GY59" s="214"/>
      <c r="GZ59" s="214"/>
      <c r="HA59" s="214"/>
      <c r="HB59" s="214"/>
      <c r="HC59" s="214"/>
      <c r="HD59" s="214"/>
      <c r="HE59" s="214"/>
      <c r="HF59" s="214"/>
      <c r="HG59" s="214"/>
      <c r="HH59" s="214"/>
      <c r="HI59" s="214"/>
      <c r="HJ59" s="214"/>
      <c r="HK59" s="214"/>
      <c r="HL59" s="214"/>
      <c r="HM59" s="214"/>
      <c r="HN59" s="214"/>
      <c r="HO59" s="214"/>
      <c r="HP59" s="214"/>
      <c r="HQ59" s="214"/>
      <c r="HR59" s="214"/>
      <c r="HS59" s="214"/>
      <c r="HT59" s="214"/>
      <c r="HU59" s="214"/>
      <c r="HV59" s="214"/>
      <c r="HW59" s="214"/>
      <c r="HX59" s="214"/>
      <c r="HY59" s="214"/>
      <c r="HZ59" s="214"/>
      <c r="IA59" s="214"/>
      <c r="IB59" s="214"/>
      <c r="IC59" s="214"/>
      <c r="ID59" s="214"/>
      <c r="IE59" s="214"/>
      <c r="IF59" s="214"/>
      <c r="IG59" s="214"/>
      <c r="IH59" s="214"/>
      <c r="II59" s="214"/>
      <c r="IJ59" s="214"/>
      <c r="IK59" s="214"/>
      <c r="IL59" s="214"/>
      <c r="IM59" s="214"/>
      <c r="IN59" s="214"/>
      <c r="IO59" s="214"/>
      <c r="IP59" s="214"/>
      <c r="IQ59" s="214"/>
      <c r="IR59" s="214"/>
      <c r="IS59" s="214"/>
      <c r="IT59" s="214"/>
      <c r="IU59" s="214"/>
      <c r="IV59" s="214"/>
      <c r="IW59" s="214"/>
      <c r="IX59" s="214"/>
      <c r="IY59" s="214"/>
      <c r="IZ59" s="214"/>
      <c r="JA59" s="214"/>
      <c r="JB59" s="214"/>
      <c r="JC59" s="214"/>
      <c r="JD59" s="214"/>
      <c r="JE59" s="214"/>
      <c r="JF59" s="214"/>
      <c r="JG59" s="214"/>
      <c r="JH59" s="214"/>
      <c r="JI59" s="214"/>
    </row>
    <row r="60" spans="1:269">
      <c r="A60" s="149"/>
      <c r="B60" s="152"/>
      <c r="C60" s="152"/>
      <c r="D60" s="305"/>
      <c r="E60" s="214"/>
      <c r="F60" s="214"/>
      <c r="G60" s="214"/>
      <c r="H60" s="214"/>
      <c r="I60" s="214"/>
      <c r="J60" s="214"/>
      <c r="K60" s="214"/>
      <c r="L60" s="214"/>
      <c r="M60" s="214"/>
      <c r="N60" s="214"/>
      <c r="O60" s="214"/>
      <c r="P60" s="214"/>
      <c r="Q60" s="214"/>
      <c r="R60" s="214"/>
      <c r="S60" s="214"/>
      <c r="T60" s="214"/>
      <c r="U60" s="214"/>
      <c r="V60" s="214"/>
      <c r="W60" s="214"/>
      <c r="X60" s="214"/>
      <c r="Y60" s="214"/>
      <c r="Z60" s="214"/>
      <c r="AA60" s="214"/>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c r="CG60" s="214"/>
      <c r="CH60" s="214"/>
      <c r="CI60" s="214"/>
      <c r="CJ60" s="214"/>
      <c r="CK60" s="214"/>
      <c r="CL60" s="214"/>
      <c r="CM60" s="214"/>
      <c r="CN60" s="214"/>
      <c r="CO60" s="214"/>
      <c r="CP60" s="214"/>
      <c r="CQ60" s="214"/>
      <c r="CR60" s="214"/>
      <c r="CS60" s="214"/>
      <c r="CT60" s="214"/>
      <c r="CU60" s="214"/>
      <c r="CV60" s="214"/>
      <c r="CW60" s="214"/>
      <c r="CX60" s="214"/>
      <c r="CY60" s="214"/>
      <c r="CZ60" s="214"/>
      <c r="DA60" s="214"/>
      <c r="DB60" s="214"/>
      <c r="DC60" s="214"/>
      <c r="DD60" s="214"/>
      <c r="DE60" s="214"/>
      <c r="DF60" s="214"/>
      <c r="DG60" s="214"/>
      <c r="DH60" s="214"/>
      <c r="DI60" s="214"/>
      <c r="DJ60" s="214"/>
      <c r="DK60" s="214"/>
      <c r="DL60" s="214"/>
      <c r="DM60" s="214"/>
      <c r="DN60" s="214"/>
      <c r="DO60" s="214"/>
      <c r="DP60" s="214"/>
      <c r="DQ60" s="214"/>
      <c r="DR60" s="214"/>
      <c r="DS60" s="214"/>
      <c r="DT60" s="214"/>
      <c r="DU60" s="214"/>
      <c r="DV60" s="214"/>
      <c r="DW60" s="214"/>
      <c r="DX60" s="214"/>
      <c r="DY60" s="214"/>
      <c r="DZ60" s="214"/>
      <c r="EA60" s="214"/>
      <c r="EB60" s="214"/>
      <c r="EC60" s="214"/>
      <c r="ED60" s="214"/>
      <c r="EE60" s="214"/>
      <c r="EF60" s="214"/>
      <c r="EG60" s="214"/>
      <c r="EH60" s="214"/>
      <c r="EI60" s="214"/>
      <c r="EJ60" s="214"/>
      <c r="EK60" s="214"/>
      <c r="EL60" s="214"/>
      <c r="EM60" s="214"/>
      <c r="EN60" s="214"/>
      <c r="EO60" s="214"/>
      <c r="EP60" s="214"/>
      <c r="EQ60" s="214"/>
      <c r="ER60" s="214"/>
      <c r="ES60" s="214"/>
      <c r="ET60" s="214"/>
      <c r="EU60" s="214"/>
      <c r="EV60" s="214"/>
      <c r="EW60" s="214"/>
      <c r="EX60" s="214"/>
      <c r="EY60" s="214"/>
      <c r="EZ60" s="214"/>
      <c r="FA60" s="214"/>
      <c r="FB60" s="214"/>
      <c r="FC60" s="214"/>
      <c r="FD60" s="214"/>
      <c r="FE60" s="214"/>
      <c r="FF60" s="214"/>
      <c r="FG60" s="214"/>
      <c r="FH60" s="214"/>
      <c r="FI60" s="214"/>
      <c r="FJ60" s="214"/>
      <c r="FK60" s="214"/>
      <c r="FL60" s="214"/>
      <c r="FM60" s="214"/>
      <c r="FN60" s="214"/>
      <c r="FO60" s="214"/>
      <c r="FP60" s="214"/>
      <c r="FQ60" s="214"/>
      <c r="FR60" s="214"/>
      <c r="FS60" s="214"/>
      <c r="FT60" s="214"/>
      <c r="FU60" s="214"/>
      <c r="FV60" s="214"/>
      <c r="FW60" s="214"/>
      <c r="FX60" s="214"/>
      <c r="FY60" s="214"/>
      <c r="FZ60" s="214"/>
      <c r="GA60" s="214"/>
      <c r="GB60" s="214"/>
      <c r="GC60" s="214"/>
      <c r="GD60" s="214"/>
      <c r="GE60" s="214"/>
      <c r="GF60" s="214"/>
      <c r="GG60" s="214"/>
      <c r="GH60" s="214"/>
      <c r="GI60" s="214"/>
      <c r="GJ60" s="214"/>
      <c r="GK60" s="214"/>
      <c r="GL60" s="214"/>
      <c r="GM60" s="214"/>
      <c r="GN60" s="214"/>
      <c r="GO60" s="214"/>
      <c r="GP60" s="214"/>
      <c r="GQ60" s="214"/>
      <c r="GR60" s="214"/>
      <c r="GS60" s="214"/>
      <c r="GT60" s="214"/>
      <c r="GU60" s="214"/>
      <c r="GV60" s="214"/>
      <c r="GW60" s="214"/>
      <c r="GX60" s="214"/>
      <c r="GY60" s="214"/>
      <c r="GZ60" s="214"/>
      <c r="HA60" s="214"/>
      <c r="HB60" s="214"/>
      <c r="HC60" s="214"/>
      <c r="HD60" s="214"/>
      <c r="HE60" s="214"/>
      <c r="HF60" s="214"/>
      <c r="HG60" s="214"/>
      <c r="HH60" s="214"/>
      <c r="HI60" s="214"/>
      <c r="HJ60" s="214"/>
      <c r="HK60" s="214"/>
      <c r="HL60" s="214"/>
      <c r="HM60" s="214"/>
      <c r="HN60" s="214"/>
      <c r="HO60" s="214"/>
      <c r="HP60" s="214"/>
      <c r="HQ60" s="214"/>
      <c r="HR60" s="214"/>
      <c r="HS60" s="214"/>
      <c r="HT60" s="214"/>
      <c r="HU60" s="214"/>
      <c r="HV60" s="214"/>
      <c r="HW60" s="214"/>
      <c r="HX60" s="214"/>
      <c r="HY60" s="214"/>
      <c r="HZ60" s="214"/>
      <c r="IA60" s="214"/>
      <c r="IB60" s="214"/>
      <c r="IC60" s="214"/>
      <c r="ID60" s="214"/>
      <c r="IE60" s="214"/>
      <c r="IF60" s="214"/>
      <c r="IG60" s="214"/>
      <c r="IH60" s="214"/>
      <c r="II60" s="214"/>
      <c r="IJ60" s="214"/>
      <c r="IK60" s="214"/>
      <c r="IL60" s="214"/>
      <c r="IM60" s="214"/>
      <c r="IN60" s="214"/>
      <c r="IO60" s="214"/>
      <c r="IP60" s="214"/>
      <c r="IQ60" s="214"/>
      <c r="IR60" s="214"/>
      <c r="IS60" s="214"/>
      <c r="IT60" s="214"/>
      <c r="IU60" s="214"/>
      <c r="IV60" s="214"/>
      <c r="IW60" s="214"/>
      <c r="IX60" s="214"/>
      <c r="IY60" s="214"/>
      <c r="IZ60" s="214"/>
      <c r="JA60" s="214"/>
      <c r="JB60" s="214"/>
      <c r="JC60" s="214"/>
      <c r="JD60" s="214"/>
      <c r="JE60" s="214"/>
      <c r="JF60" s="214"/>
      <c r="JG60" s="214"/>
      <c r="JH60" s="214"/>
      <c r="JI60" s="214"/>
    </row>
    <row r="61" spans="1:269">
      <c r="A61" s="149"/>
      <c r="B61" s="152"/>
      <c r="C61" s="152"/>
      <c r="D61" s="305"/>
      <c r="E61" s="214"/>
      <c r="F61" s="214"/>
      <c r="G61" s="214"/>
      <c r="H61" s="214"/>
      <c r="I61" s="214"/>
      <c r="J61" s="214"/>
      <c r="K61" s="214"/>
      <c r="L61" s="214"/>
      <c r="M61" s="214"/>
      <c r="N61" s="214"/>
      <c r="O61" s="214"/>
      <c r="P61" s="214"/>
      <c r="Q61" s="214"/>
      <c r="R61" s="214"/>
      <c r="S61" s="214"/>
      <c r="T61" s="214"/>
      <c r="U61" s="214"/>
      <c r="V61" s="214"/>
      <c r="W61" s="214"/>
      <c r="X61" s="214"/>
      <c r="Y61" s="214"/>
      <c r="Z61" s="214"/>
      <c r="AA61" s="214"/>
      <c r="AB61" s="214"/>
      <c r="AC61" s="214"/>
      <c r="AD61" s="214"/>
      <c r="AE61" s="214"/>
      <c r="AF61" s="214"/>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4"/>
      <c r="CG61" s="214"/>
      <c r="CH61" s="214"/>
      <c r="CI61" s="214"/>
      <c r="CJ61" s="214"/>
      <c r="CK61" s="214"/>
      <c r="CL61" s="214"/>
      <c r="CM61" s="214"/>
      <c r="CN61" s="214"/>
      <c r="CO61" s="214"/>
      <c r="CP61" s="214"/>
      <c r="CQ61" s="214"/>
      <c r="CR61" s="214"/>
      <c r="CS61" s="214"/>
      <c r="CT61" s="214"/>
      <c r="CU61" s="214"/>
      <c r="CV61" s="214"/>
      <c r="CW61" s="214"/>
      <c r="CX61" s="214"/>
      <c r="CY61" s="214"/>
      <c r="CZ61" s="214"/>
      <c r="DA61" s="214"/>
      <c r="DB61" s="214"/>
      <c r="DC61" s="214"/>
      <c r="DD61" s="214"/>
      <c r="DE61" s="214"/>
      <c r="DF61" s="214"/>
      <c r="DG61" s="214"/>
      <c r="DH61" s="214"/>
      <c r="DI61" s="214"/>
      <c r="DJ61" s="214"/>
      <c r="DK61" s="214"/>
      <c r="DL61" s="214"/>
      <c r="DM61" s="214"/>
      <c r="DN61" s="214"/>
      <c r="DO61" s="214"/>
      <c r="DP61" s="214"/>
      <c r="DQ61" s="214"/>
      <c r="DR61" s="214"/>
      <c r="DS61" s="214"/>
      <c r="DT61" s="214"/>
      <c r="DU61" s="214"/>
      <c r="DV61" s="214"/>
      <c r="DW61" s="214"/>
      <c r="DX61" s="214"/>
      <c r="DY61" s="214"/>
      <c r="DZ61" s="214"/>
      <c r="EA61" s="214"/>
      <c r="EB61" s="214"/>
      <c r="EC61" s="214"/>
      <c r="ED61" s="214"/>
      <c r="EE61" s="214"/>
      <c r="EF61" s="214"/>
      <c r="EG61" s="214"/>
      <c r="EH61" s="214"/>
      <c r="EI61" s="214"/>
      <c r="EJ61" s="214"/>
      <c r="EK61" s="214"/>
      <c r="EL61" s="214"/>
      <c r="EM61" s="214"/>
      <c r="EN61" s="214"/>
      <c r="EO61" s="214"/>
      <c r="EP61" s="214"/>
      <c r="EQ61" s="214"/>
      <c r="ER61" s="214"/>
      <c r="ES61" s="214"/>
      <c r="ET61" s="214"/>
      <c r="EU61" s="214"/>
      <c r="EV61" s="214"/>
      <c r="EW61" s="214"/>
      <c r="EX61" s="214"/>
      <c r="EY61" s="214"/>
      <c r="EZ61" s="214"/>
      <c r="FA61" s="214"/>
      <c r="FB61" s="214"/>
      <c r="FC61" s="214"/>
      <c r="FD61" s="214"/>
      <c r="FE61" s="214"/>
      <c r="FF61" s="214"/>
      <c r="FG61" s="214"/>
      <c r="FH61" s="214"/>
      <c r="FI61" s="214"/>
      <c r="FJ61" s="214"/>
      <c r="FK61" s="214"/>
      <c r="FL61" s="214"/>
      <c r="FM61" s="214"/>
      <c r="FN61" s="214"/>
      <c r="FO61" s="214"/>
      <c r="FP61" s="214"/>
      <c r="FQ61" s="214"/>
      <c r="FR61" s="214"/>
      <c r="FS61" s="214"/>
      <c r="FT61" s="214"/>
      <c r="FU61" s="214"/>
      <c r="FV61" s="214"/>
      <c r="FW61" s="214"/>
      <c r="FX61" s="214"/>
      <c r="FY61" s="214"/>
      <c r="FZ61" s="214"/>
      <c r="GA61" s="214"/>
      <c r="GB61" s="214"/>
      <c r="GC61" s="214"/>
      <c r="GD61" s="214"/>
      <c r="GE61" s="214"/>
      <c r="GF61" s="214"/>
      <c r="GG61" s="214"/>
      <c r="GH61" s="214"/>
      <c r="GI61" s="214"/>
      <c r="GJ61" s="214"/>
      <c r="GK61" s="214"/>
      <c r="GL61" s="214"/>
      <c r="GM61" s="214"/>
      <c r="GN61" s="214"/>
      <c r="GO61" s="214"/>
      <c r="GP61" s="214"/>
      <c r="GQ61" s="214"/>
      <c r="GR61" s="214"/>
      <c r="GS61" s="214"/>
      <c r="GT61" s="214"/>
      <c r="GU61" s="214"/>
      <c r="GV61" s="214"/>
      <c r="GW61" s="214"/>
      <c r="GX61" s="214"/>
      <c r="GY61" s="214"/>
      <c r="GZ61" s="214"/>
      <c r="HA61" s="214"/>
      <c r="HB61" s="214"/>
      <c r="HC61" s="214"/>
      <c r="HD61" s="214"/>
      <c r="HE61" s="214"/>
      <c r="HF61" s="214"/>
      <c r="HG61" s="214"/>
      <c r="HH61" s="214"/>
      <c r="HI61" s="214"/>
      <c r="HJ61" s="214"/>
      <c r="HK61" s="214"/>
      <c r="HL61" s="214"/>
      <c r="HM61" s="214"/>
      <c r="HN61" s="214"/>
      <c r="HO61" s="214"/>
      <c r="HP61" s="214"/>
      <c r="HQ61" s="214"/>
      <c r="HR61" s="214"/>
      <c r="HS61" s="214"/>
      <c r="HT61" s="214"/>
      <c r="HU61" s="214"/>
      <c r="HV61" s="214"/>
      <c r="HW61" s="214"/>
      <c r="HX61" s="214"/>
      <c r="HY61" s="214"/>
      <c r="HZ61" s="214"/>
      <c r="IA61" s="214"/>
      <c r="IB61" s="214"/>
      <c r="IC61" s="214"/>
      <c r="ID61" s="214"/>
      <c r="IE61" s="214"/>
      <c r="IF61" s="214"/>
      <c r="IG61" s="214"/>
      <c r="IH61" s="214"/>
      <c r="II61" s="214"/>
      <c r="IJ61" s="214"/>
      <c r="IK61" s="214"/>
      <c r="IL61" s="214"/>
      <c r="IM61" s="214"/>
      <c r="IN61" s="214"/>
      <c r="IO61" s="214"/>
      <c r="IP61" s="214"/>
      <c r="IQ61" s="214"/>
      <c r="IR61" s="214"/>
      <c r="IS61" s="214"/>
      <c r="IT61" s="214"/>
      <c r="IU61" s="214"/>
      <c r="IV61" s="214"/>
      <c r="IW61" s="214"/>
      <c r="IX61" s="214"/>
      <c r="IY61" s="214"/>
      <c r="IZ61" s="214"/>
      <c r="JA61" s="214"/>
      <c r="JB61" s="214"/>
      <c r="JC61" s="214"/>
      <c r="JD61" s="214"/>
      <c r="JE61" s="214"/>
      <c r="JF61" s="214"/>
      <c r="JG61" s="214"/>
      <c r="JH61" s="214"/>
      <c r="JI61" s="214"/>
    </row>
    <row r="62" spans="1:269">
      <c r="A62" s="149"/>
      <c r="B62" s="152"/>
      <c r="C62" s="152"/>
      <c r="D62" s="305"/>
      <c r="E62" s="214"/>
      <c r="F62" s="214"/>
      <c r="G62" s="214"/>
      <c r="H62" s="214"/>
      <c r="I62" s="214"/>
      <c r="J62" s="214"/>
      <c r="K62" s="214"/>
      <c r="L62" s="214"/>
      <c r="M62" s="214"/>
      <c r="N62" s="214"/>
      <c r="O62" s="214"/>
      <c r="P62" s="214"/>
      <c r="Q62" s="214"/>
      <c r="R62" s="214"/>
      <c r="S62" s="214"/>
      <c r="T62" s="214"/>
      <c r="U62" s="214"/>
      <c r="V62" s="214"/>
      <c r="W62" s="214"/>
      <c r="X62" s="214"/>
      <c r="Y62" s="214"/>
      <c r="Z62" s="214"/>
      <c r="AA62" s="214"/>
      <c r="AB62" s="214"/>
      <c r="AC62" s="214"/>
      <c r="AD62" s="214"/>
      <c r="AE62" s="214"/>
      <c r="AF62" s="214"/>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c r="BX62" s="214"/>
      <c r="BY62" s="214"/>
      <c r="BZ62" s="214"/>
      <c r="CA62" s="214"/>
      <c r="CB62" s="214"/>
      <c r="CC62" s="214"/>
      <c r="CD62" s="214"/>
      <c r="CE62" s="214"/>
      <c r="CF62" s="214"/>
      <c r="CG62" s="214"/>
      <c r="CH62" s="214"/>
      <c r="CI62" s="214"/>
      <c r="CJ62" s="214"/>
      <c r="CK62" s="214"/>
      <c r="CL62" s="214"/>
      <c r="CM62" s="214"/>
      <c r="CN62" s="214"/>
      <c r="CO62" s="214"/>
      <c r="CP62" s="214"/>
      <c r="CQ62" s="214"/>
      <c r="CR62" s="214"/>
      <c r="CS62" s="214"/>
      <c r="CT62" s="214"/>
      <c r="CU62" s="214"/>
      <c r="CV62" s="214"/>
      <c r="CW62" s="214"/>
      <c r="CX62" s="214"/>
      <c r="CY62" s="214"/>
      <c r="CZ62" s="214"/>
      <c r="DA62" s="214"/>
      <c r="DB62" s="214"/>
      <c r="DC62" s="214"/>
      <c r="DD62" s="214"/>
      <c r="DE62" s="214"/>
      <c r="DF62" s="214"/>
      <c r="DG62" s="214"/>
      <c r="DH62" s="214"/>
      <c r="DI62" s="214"/>
      <c r="DJ62" s="214"/>
      <c r="DK62" s="214"/>
      <c r="DL62" s="214"/>
      <c r="DM62" s="214"/>
      <c r="DN62" s="214"/>
      <c r="DO62" s="214"/>
      <c r="DP62" s="214"/>
      <c r="DQ62" s="214"/>
      <c r="DR62" s="214"/>
      <c r="DS62" s="214"/>
      <c r="DT62" s="214"/>
      <c r="DU62" s="214"/>
      <c r="DV62" s="214"/>
      <c r="DW62" s="214"/>
      <c r="DX62" s="214"/>
      <c r="DY62" s="214"/>
      <c r="DZ62" s="214"/>
      <c r="EA62" s="214"/>
      <c r="EB62" s="214"/>
      <c r="EC62" s="214"/>
      <c r="ED62" s="214"/>
      <c r="EE62" s="214"/>
      <c r="EF62" s="214"/>
      <c r="EG62" s="214"/>
      <c r="EH62" s="214"/>
      <c r="EI62" s="214"/>
      <c r="EJ62" s="214"/>
      <c r="EK62" s="214"/>
      <c r="EL62" s="214"/>
      <c r="EM62" s="214"/>
      <c r="EN62" s="214"/>
      <c r="EO62" s="214"/>
      <c r="EP62" s="214"/>
      <c r="EQ62" s="214"/>
      <c r="ER62" s="214"/>
      <c r="ES62" s="214"/>
      <c r="ET62" s="214"/>
      <c r="EU62" s="214"/>
      <c r="EV62" s="214"/>
      <c r="EW62" s="214"/>
      <c r="EX62" s="214"/>
      <c r="EY62" s="214"/>
      <c r="EZ62" s="214"/>
      <c r="FA62" s="214"/>
      <c r="FB62" s="214"/>
      <c r="FC62" s="214"/>
      <c r="FD62" s="214"/>
      <c r="FE62" s="214"/>
      <c r="FF62" s="214"/>
      <c r="FG62" s="214"/>
      <c r="FH62" s="214"/>
      <c r="FI62" s="214"/>
      <c r="FJ62" s="214"/>
      <c r="FK62" s="214"/>
      <c r="FL62" s="214"/>
      <c r="FM62" s="214"/>
      <c r="FN62" s="214"/>
      <c r="FO62" s="214"/>
      <c r="FP62" s="214"/>
      <c r="FQ62" s="214"/>
      <c r="FR62" s="214"/>
      <c r="FS62" s="214"/>
      <c r="FT62" s="214"/>
      <c r="FU62" s="214"/>
      <c r="FV62" s="214"/>
      <c r="FW62" s="214"/>
      <c r="FX62" s="214"/>
      <c r="FY62" s="214"/>
      <c r="FZ62" s="214"/>
      <c r="GA62" s="214"/>
      <c r="GB62" s="214"/>
      <c r="GC62" s="214"/>
      <c r="GD62" s="214"/>
      <c r="GE62" s="214"/>
      <c r="GF62" s="214"/>
      <c r="GG62" s="214"/>
      <c r="GH62" s="214"/>
      <c r="GI62" s="214"/>
      <c r="GJ62" s="214"/>
      <c r="GK62" s="214"/>
      <c r="GL62" s="214"/>
      <c r="GM62" s="214"/>
      <c r="GN62" s="214"/>
      <c r="GO62" s="214"/>
      <c r="GP62" s="214"/>
      <c r="GQ62" s="214"/>
      <c r="GR62" s="214"/>
      <c r="GS62" s="214"/>
      <c r="GT62" s="214"/>
      <c r="GU62" s="214"/>
      <c r="GV62" s="214"/>
      <c r="GW62" s="214"/>
      <c r="GX62" s="214"/>
      <c r="GY62" s="214"/>
      <c r="GZ62" s="214"/>
      <c r="HA62" s="214"/>
      <c r="HB62" s="214"/>
      <c r="HC62" s="214"/>
      <c r="HD62" s="214"/>
      <c r="HE62" s="214"/>
      <c r="HF62" s="214"/>
      <c r="HG62" s="214"/>
      <c r="HH62" s="214"/>
      <c r="HI62" s="214"/>
      <c r="HJ62" s="214"/>
      <c r="HK62" s="214"/>
      <c r="HL62" s="214"/>
      <c r="HM62" s="214"/>
      <c r="HN62" s="214"/>
      <c r="HO62" s="214"/>
      <c r="HP62" s="214"/>
      <c r="HQ62" s="214"/>
      <c r="HR62" s="214"/>
      <c r="HS62" s="214"/>
      <c r="HT62" s="214"/>
      <c r="HU62" s="214"/>
      <c r="HV62" s="214"/>
      <c r="HW62" s="214"/>
      <c r="HX62" s="214"/>
      <c r="HY62" s="214"/>
      <c r="HZ62" s="214"/>
      <c r="IA62" s="214"/>
      <c r="IB62" s="214"/>
      <c r="IC62" s="214"/>
      <c r="ID62" s="214"/>
      <c r="IE62" s="214"/>
      <c r="IF62" s="214"/>
      <c r="IG62" s="214"/>
      <c r="IH62" s="214"/>
      <c r="II62" s="214"/>
      <c r="IJ62" s="214"/>
      <c r="IK62" s="214"/>
      <c r="IL62" s="214"/>
      <c r="IM62" s="214"/>
      <c r="IN62" s="214"/>
      <c r="IO62" s="214"/>
      <c r="IP62" s="214"/>
      <c r="IQ62" s="214"/>
      <c r="IR62" s="214"/>
      <c r="IS62" s="214"/>
      <c r="IT62" s="214"/>
      <c r="IU62" s="214"/>
      <c r="IV62" s="214"/>
      <c r="IW62" s="214"/>
      <c r="IX62" s="214"/>
      <c r="IY62" s="214"/>
      <c r="IZ62" s="214"/>
      <c r="JA62" s="214"/>
      <c r="JB62" s="214"/>
      <c r="JC62" s="214"/>
      <c r="JD62" s="214"/>
      <c r="JE62" s="214"/>
      <c r="JF62" s="214"/>
      <c r="JG62" s="214"/>
      <c r="JH62" s="214"/>
      <c r="JI62" s="214"/>
    </row>
    <row r="63" spans="1:269">
      <c r="A63" s="149"/>
      <c r="B63" s="152"/>
      <c r="C63" s="152"/>
      <c r="D63" s="305"/>
      <c r="E63" s="214"/>
      <c r="F63" s="214"/>
      <c r="G63" s="214"/>
      <c r="H63" s="214"/>
      <c r="I63" s="214"/>
      <c r="J63" s="214"/>
      <c r="K63" s="214"/>
      <c r="L63" s="214"/>
      <c r="M63" s="214"/>
      <c r="N63" s="214"/>
      <c r="O63" s="214"/>
      <c r="P63" s="214"/>
      <c r="Q63" s="214"/>
      <c r="R63" s="214"/>
      <c r="S63" s="214"/>
      <c r="T63" s="214"/>
      <c r="U63" s="214"/>
      <c r="V63" s="214"/>
      <c r="W63" s="214"/>
      <c r="X63" s="214"/>
      <c r="Y63" s="214"/>
      <c r="Z63" s="214"/>
      <c r="AA63" s="214"/>
      <c r="AB63" s="214"/>
      <c r="AC63" s="214"/>
      <c r="AD63" s="214"/>
      <c r="AE63" s="214"/>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c r="CE63" s="214"/>
      <c r="CF63" s="214"/>
      <c r="CG63" s="214"/>
      <c r="CH63" s="214"/>
      <c r="CI63" s="214"/>
      <c r="CJ63" s="214"/>
      <c r="CK63" s="214"/>
      <c r="CL63" s="214"/>
      <c r="CM63" s="214"/>
      <c r="CN63" s="214"/>
      <c r="CO63" s="214"/>
      <c r="CP63" s="214"/>
      <c r="CQ63" s="214"/>
      <c r="CR63" s="214"/>
      <c r="CS63" s="214"/>
      <c r="CT63" s="214"/>
      <c r="CU63" s="214"/>
      <c r="CV63" s="214"/>
      <c r="CW63" s="214"/>
      <c r="CX63" s="214"/>
      <c r="CY63" s="214"/>
      <c r="CZ63" s="214"/>
      <c r="DA63" s="214"/>
      <c r="DB63" s="214"/>
      <c r="DC63" s="214"/>
      <c r="DD63" s="214"/>
      <c r="DE63" s="214"/>
      <c r="DF63" s="214"/>
      <c r="DG63" s="214"/>
      <c r="DH63" s="214"/>
      <c r="DI63" s="214"/>
      <c r="DJ63" s="214"/>
      <c r="DK63" s="214"/>
      <c r="DL63" s="214"/>
      <c r="DM63" s="214"/>
      <c r="DN63" s="214"/>
      <c r="DO63" s="214"/>
      <c r="DP63" s="214"/>
      <c r="DQ63" s="214"/>
      <c r="DR63" s="214"/>
      <c r="DS63" s="214"/>
      <c r="DT63" s="214"/>
      <c r="DU63" s="214"/>
      <c r="DV63" s="214"/>
      <c r="DW63" s="214"/>
      <c r="DX63" s="214"/>
      <c r="DY63" s="214"/>
      <c r="DZ63" s="214"/>
      <c r="EA63" s="214"/>
      <c r="EB63" s="214"/>
      <c r="EC63" s="214"/>
      <c r="ED63" s="214"/>
      <c r="EE63" s="214"/>
      <c r="EF63" s="214"/>
      <c r="EG63" s="214"/>
      <c r="EH63" s="214"/>
      <c r="EI63" s="214"/>
      <c r="EJ63" s="214"/>
      <c r="EK63" s="214"/>
      <c r="EL63" s="214"/>
      <c r="EM63" s="214"/>
      <c r="EN63" s="214"/>
      <c r="EO63" s="214"/>
      <c r="EP63" s="214"/>
      <c r="EQ63" s="214"/>
      <c r="ER63" s="214"/>
      <c r="ES63" s="214"/>
      <c r="ET63" s="214"/>
      <c r="EU63" s="214"/>
      <c r="EV63" s="214"/>
      <c r="EW63" s="214"/>
      <c r="EX63" s="214"/>
      <c r="EY63" s="214"/>
      <c r="EZ63" s="214"/>
      <c r="FA63" s="214"/>
      <c r="FB63" s="214"/>
      <c r="FC63" s="214"/>
      <c r="FD63" s="214"/>
      <c r="FE63" s="214"/>
      <c r="FF63" s="214"/>
      <c r="FG63" s="214"/>
      <c r="FH63" s="214"/>
      <c r="FI63" s="214"/>
      <c r="FJ63" s="214"/>
      <c r="FK63" s="214"/>
      <c r="FL63" s="214"/>
      <c r="FM63" s="214"/>
      <c r="FN63" s="214"/>
      <c r="FO63" s="214"/>
      <c r="FP63" s="214"/>
      <c r="FQ63" s="214"/>
      <c r="FR63" s="214"/>
      <c r="FS63" s="214"/>
      <c r="FT63" s="214"/>
      <c r="FU63" s="214"/>
      <c r="FV63" s="214"/>
      <c r="FW63" s="214"/>
      <c r="FX63" s="214"/>
      <c r="FY63" s="214"/>
      <c r="FZ63" s="214"/>
      <c r="GA63" s="214"/>
      <c r="GB63" s="214"/>
      <c r="GC63" s="214"/>
      <c r="GD63" s="214"/>
      <c r="GE63" s="214"/>
      <c r="GF63" s="214"/>
      <c r="GG63" s="214"/>
      <c r="GH63" s="214"/>
      <c r="GI63" s="214"/>
      <c r="GJ63" s="214"/>
      <c r="GK63" s="214"/>
      <c r="GL63" s="214"/>
      <c r="GM63" s="214"/>
      <c r="GN63" s="214"/>
      <c r="GO63" s="214"/>
      <c r="GP63" s="214"/>
      <c r="GQ63" s="214"/>
      <c r="GR63" s="214"/>
      <c r="GS63" s="214"/>
      <c r="GT63" s="214"/>
      <c r="GU63" s="214"/>
      <c r="GV63" s="214"/>
      <c r="GW63" s="214"/>
      <c r="GX63" s="214"/>
      <c r="GY63" s="214"/>
      <c r="GZ63" s="214"/>
      <c r="HA63" s="214"/>
      <c r="HB63" s="214"/>
      <c r="HC63" s="214"/>
      <c r="HD63" s="214"/>
      <c r="HE63" s="214"/>
      <c r="HF63" s="214"/>
      <c r="HG63" s="214"/>
      <c r="HH63" s="214"/>
      <c r="HI63" s="214"/>
      <c r="HJ63" s="214"/>
      <c r="HK63" s="214"/>
      <c r="HL63" s="214"/>
      <c r="HM63" s="214"/>
      <c r="HN63" s="214"/>
      <c r="HO63" s="214"/>
      <c r="HP63" s="214"/>
      <c r="HQ63" s="214"/>
      <c r="HR63" s="214"/>
      <c r="HS63" s="214"/>
      <c r="HT63" s="214"/>
      <c r="HU63" s="214"/>
      <c r="HV63" s="214"/>
      <c r="HW63" s="214"/>
      <c r="HX63" s="214"/>
      <c r="HY63" s="214"/>
      <c r="HZ63" s="214"/>
      <c r="IA63" s="214"/>
      <c r="IB63" s="214"/>
      <c r="IC63" s="214"/>
      <c r="ID63" s="214"/>
      <c r="IE63" s="214"/>
      <c r="IF63" s="214"/>
      <c r="IG63" s="214"/>
      <c r="IH63" s="214"/>
      <c r="II63" s="214"/>
      <c r="IJ63" s="214"/>
      <c r="IK63" s="214"/>
      <c r="IL63" s="214"/>
      <c r="IM63" s="214"/>
      <c r="IN63" s="214"/>
      <c r="IO63" s="214"/>
      <c r="IP63" s="214"/>
      <c r="IQ63" s="214"/>
      <c r="IR63" s="214"/>
      <c r="IS63" s="214"/>
      <c r="IT63" s="214"/>
      <c r="IU63" s="214"/>
      <c r="IV63" s="214"/>
      <c r="IW63" s="214"/>
      <c r="IX63" s="214"/>
      <c r="IY63" s="214"/>
      <c r="IZ63" s="214"/>
      <c r="JA63" s="214"/>
      <c r="JB63" s="214"/>
      <c r="JC63" s="214"/>
      <c r="JD63" s="214"/>
      <c r="JE63" s="214"/>
      <c r="JF63" s="214"/>
      <c r="JG63" s="214"/>
      <c r="JH63" s="214"/>
      <c r="JI63" s="214"/>
    </row>
    <row r="64" spans="1:269">
      <c r="A64" s="149"/>
      <c r="B64" s="152"/>
      <c r="C64" s="152"/>
      <c r="D64" s="305"/>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c r="BS64" s="214"/>
      <c r="BT64" s="214"/>
      <c r="BU64" s="214"/>
      <c r="BV64" s="214"/>
      <c r="BW64" s="214"/>
      <c r="BX64" s="214"/>
      <c r="BY64" s="214"/>
      <c r="BZ64" s="214"/>
      <c r="CA64" s="214"/>
      <c r="CB64" s="214"/>
      <c r="CC64" s="214"/>
      <c r="CD64" s="214"/>
      <c r="CE64" s="214"/>
      <c r="CF64" s="214"/>
      <c r="CG64" s="214"/>
      <c r="CH64" s="214"/>
      <c r="CI64" s="214"/>
      <c r="CJ64" s="214"/>
      <c r="CK64" s="214"/>
      <c r="CL64" s="214"/>
      <c r="CM64" s="214"/>
      <c r="CN64" s="214"/>
      <c r="CO64" s="214"/>
      <c r="CP64" s="214"/>
      <c r="CQ64" s="214"/>
      <c r="CR64" s="214"/>
      <c r="CS64" s="214"/>
      <c r="CT64" s="214"/>
      <c r="CU64" s="214"/>
      <c r="CV64" s="214"/>
      <c r="CW64" s="214"/>
      <c r="CX64" s="214"/>
      <c r="CY64" s="214"/>
      <c r="CZ64" s="214"/>
      <c r="DA64" s="214"/>
      <c r="DB64" s="214"/>
      <c r="DC64" s="214"/>
      <c r="DD64" s="214"/>
      <c r="DE64" s="214"/>
      <c r="DF64" s="214"/>
      <c r="DG64" s="214"/>
      <c r="DH64" s="214"/>
      <c r="DI64" s="214"/>
      <c r="DJ64" s="214"/>
      <c r="DK64" s="214"/>
      <c r="DL64" s="214"/>
      <c r="DM64" s="214"/>
      <c r="DN64" s="214"/>
      <c r="DO64" s="214"/>
      <c r="DP64" s="214"/>
      <c r="DQ64" s="214"/>
      <c r="DR64" s="214"/>
      <c r="DS64" s="214"/>
      <c r="DT64" s="214"/>
      <c r="DU64" s="214"/>
      <c r="DV64" s="214"/>
      <c r="DW64" s="214"/>
      <c r="DX64" s="214"/>
      <c r="DY64" s="214"/>
      <c r="DZ64" s="214"/>
      <c r="EA64" s="214"/>
      <c r="EB64" s="214"/>
      <c r="EC64" s="214"/>
      <c r="ED64" s="214"/>
      <c r="EE64" s="214"/>
      <c r="EF64" s="214"/>
      <c r="EG64" s="214"/>
      <c r="EH64" s="214"/>
      <c r="EI64" s="214"/>
      <c r="EJ64" s="214"/>
      <c r="EK64" s="214"/>
      <c r="EL64" s="214"/>
      <c r="EM64" s="214"/>
      <c r="EN64" s="214"/>
      <c r="EO64" s="214"/>
      <c r="EP64" s="214"/>
      <c r="EQ64" s="214"/>
      <c r="ER64" s="214"/>
      <c r="ES64" s="214"/>
      <c r="ET64" s="214"/>
      <c r="EU64" s="214"/>
      <c r="EV64" s="214"/>
      <c r="EW64" s="214"/>
      <c r="EX64" s="214"/>
      <c r="EY64" s="214"/>
      <c r="EZ64" s="214"/>
      <c r="FA64" s="214"/>
      <c r="FB64" s="214"/>
      <c r="FC64" s="214"/>
      <c r="FD64" s="214"/>
      <c r="FE64" s="214"/>
      <c r="FF64" s="214"/>
      <c r="FG64" s="214"/>
      <c r="FH64" s="214"/>
      <c r="FI64" s="214"/>
      <c r="FJ64" s="214"/>
      <c r="FK64" s="214"/>
      <c r="FL64" s="214"/>
      <c r="FM64" s="214"/>
      <c r="FN64" s="214"/>
      <c r="FO64" s="214"/>
      <c r="FP64" s="214"/>
      <c r="FQ64" s="214"/>
      <c r="FR64" s="214"/>
      <c r="FS64" s="214"/>
      <c r="FT64" s="214"/>
      <c r="FU64" s="214"/>
      <c r="FV64" s="214"/>
      <c r="FW64" s="214"/>
      <c r="FX64" s="214"/>
      <c r="FY64" s="214"/>
      <c r="FZ64" s="214"/>
      <c r="GA64" s="214"/>
      <c r="GB64" s="214"/>
      <c r="GC64" s="214"/>
      <c r="GD64" s="214"/>
      <c r="GE64" s="214"/>
      <c r="GF64" s="214"/>
      <c r="GG64" s="214"/>
      <c r="GH64" s="214"/>
      <c r="GI64" s="214"/>
      <c r="GJ64" s="214"/>
      <c r="GK64" s="214"/>
      <c r="GL64" s="214"/>
      <c r="GM64" s="214"/>
      <c r="GN64" s="214"/>
      <c r="GO64" s="214"/>
      <c r="GP64" s="214"/>
      <c r="GQ64" s="214"/>
      <c r="GR64" s="214"/>
      <c r="GS64" s="214"/>
      <c r="GT64" s="214"/>
      <c r="GU64" s="214"/>
      <c r="GV64" s="214"/>
      <c r="GW64" s="214"/>
      <c r="GX64" s="214"/>
      <c r="GY64" s="214"/>
      <c r="GZ64" s="214"/>
      <c r="HA64" s="214"/>
      <c r="HB64" s="214"/>
      <c r="HC64" s="214"/>
      <c r="HD64" s="214"/>
      <c r="HE64" s="214"/>
      <c r="HF64" s="214"/>
      <c r="HG64" s="214"/>
      <c r="HH64" s="214"/>
      <c r="HI64" s="214"/>
      <c r="HJ64" s="214"/>
      <c r="HK64" s="214"/>
      <c r="HL64" s="214"/>
      <c r="HM64" s="214"/>
      <c r="HN64" s="214"/>
      <c r="HO64" s="214"/>
      <c r="HP64" s="214"/>
      <c r="HQ64" s="214"/>
      <c r="HR64" s="214"/>
      <c r="HS64" s="214"/>
      <c r="HT64" s="214"/>
      <c r="HU64" s="214"/>
      <c r="HV64" s="214"/>
      <c r="HW64" s="214"/>
      <c r="HX64" s="214"/>
      <c r="HY64" s="214"/>
      <c r="HZ64" s="214"/>
      <c r="IA64" s="214"/>
      <c r="IB64" s="214"/>
      <c r="IC64" s="214"/>
      <c r="ID64" s="214"/>
      <c r="IE64" s="214"/>
      <c r="IF64" s="214"/>
      <c r="IG64" s="214"/>
      <c r="IH64" s="214"/>
      <c r="II64" s="214"/>
      <c r="IJ64" s="214"/>
      <c r="IK64" s="214"/>
      <c r="IL64" s="214"/>
      <c r="IM64" s="214"/>
      <c r="IN64" s="214"/>
      <c r="IO64" s="214"/>
      <c r="IP64" s="214"/>
      <c r="IQ64" s="214"/>
      <c r="IR64" s="214"/>
      <c r="IS64" s="214"/>
      <c r="IT64" s="214"/>
      <c r="IU64" s="214"/>
      <c r="IV64" s="214"/>
      <c r="IW64" s="214"/>
      <c r="IX64" s="214"/>
      <c r="IY64" s="214"/>
      <c r="IZ64" s="214"/>
      <c r="JA64" s="214"/>
      <c r="JB64" s="214"/>
      <c r="JC64" s="214"/>
      <c r="JD64" s="214"/>
      <c r="JE64" s="214"/>
      <c r="JF64" s="214"/>
      <c r="JG64" s="214"/>
      <c r="JH64" s="214"/>
      <c r="JI64" s="214"/>
    </row>
    <row r="65" spans="1:269">
      <c r="A65" s="149"/>
      <c r="B65" s="152"/>
      <c r="C65" s="152"/>
      <c r="D65" s="305"/>
      <c r="E65" s="214"/>
      <c r="F65" s="214"/>
      <c r="G65" s="214"/>
      <c r="H65" s="214"/>
      <c r="I65" s="214"/>
      <c r="J65" s="214"/>
      <c r="K65" s="214"/>
      <c r="L65" s="214"/>
      <c r="M65" s="214"/>
      <c r="N65" s="214"/>
      <c r="O65" s="214"/>
      <c r="P65" s="214"/>
      <c r="Q65" s="214"/>
      <c r="R65" s="214"/>
      <c r="S65" s="214"/>
      <c r="T65" s="214"/>
      <c r="U65" s="214"/>
      <c r="V65" s="214"/>
      <c r="W65" s="214"/>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c r="BI65" s="214"/>
      <c r="BJ65" s="214"/>
      <c r="BK65" s="214"/>
      <c r="BL65" s="214"/>
      <c r="BM65" s="214"/>
      <c r="BN65" s="214"/>
      <c r="BO65" s="214"/>
      <c r="BP65" s="214"/>
      <c r="BQ65" s="214"/>
      <c r="BR65" s="214"/>
      <c r="BS65" s="214"/>
      <c r="BT65" s="214"/>
      <c r="BU65" s="214"/>
      <c r="BV65" s="214"/>
      <c r="BW65" s="214"/>
      <c r="BX65" s="214"/>
      <c r="BY65" s="214"/>
      <c r="BZ65" s="214"/>
      <c r="CA65" s="214"/>
      <c r="CB65" s="214"/>
      <c r="CC65" s="214"/>
      <c r="CD65" s="214"/>
      <c r="CE65" s="214"/>
      <c r="CF65" s="214"/>
      <c r="CG65" s="214"/>
      <c r="CH65" s="214"/>
      <c r="CI65" s="214"/>
      <c r="CJ65" s="214"/>
      <c r="CK65" s="214"/>
      <c r="CL65" s="214"/>
      <c r="CM65" s="214"/>
      <c r="CN65" s="214"/>
      <c r="CO65" s="214"/>
      <c r="CP65" s="214"/>
      <c r="CQ65" s="214"/>
      <c r="CR65" s="214"/>
      <c r="CS65" s="214"/>
      <c r="CT65" s="214"/>
      <c r="CU65" s="214"/>
      <c r="CV65" s="214"/>
      <c r="CW65" s="214"/>
      <c r="CX65" s="214"/>
      <c r="CY65" s="214"/>
      <c r="CZ65" s="214"/>
      <c r="DA65" s="214"/>
      <c r="DB65" s="214"/>
      <c r="DC65" s="214"/>
      <c r="DD65" s="214"/>
      <c r="DE65" s="214"/>
      <c r="DF65" s="214"/>
      <c r="DG65" s="214"/>
      <c r="DH65" s="214"/>
      <c r="DI65" s="214"/>
      <c r="DJ65" s="214"/>
      <c r="DK65" s="214"/>
      <c r="DL65" s="214"/>
      <c r="DM65" s="214"/>
      <c r="DN65" s="214"/>
      <c r="DO65" s="214"/>
      <c r="DP65" s="214"/>
      <c r="DQ65" s="214"/>
      <c r="DR65" s="214"/>
      <c r="DS65" s="214"/>
      <c r="DT65" s="214"/>
      <c r="DU65" s="214"/>
      <c r="DV65" s="214"/>
      <c r="DW65" s="214"/>
      <c r="DX65" s="214"/>
      <c r="DY65" s="214"/>
      <c r="DZ65" s="214"/>
      <c r="EA65" s="214"/>
      <c r="EB65" s="214"/>
      <c r="EC65" s="214"/>
      <c r="ED65" s="214"/>
      <c r="EE65" s="214"/>
      <c r="EF65" s="214"/>
      <c r="EG65" s="214"/>
      <c r="EH65" s="214"/>
      <c r="EI65" s="214"/>
      <c r="EJ65" s="214"/>
      <c r="EK65" s="214"/>
      <c r="EL65" s="214"/>
      <c r="EM65" s="214"/>
      <c r="EN65" s="214"/>
      <c r="EO65" s="214"/>
      <c r="EP65" s="214"/>
      <c r="EQ65" s="214"/>
      <c r="ER65" s="214"/>
      <c r="ES65" s="214"/>
      <c r="ET65" s="214"/>
      <c r="EU65" s="214"/>
      <c r="EV65" s="214"/>
      <c r="EW65" s="214"/>
      <c r="EX65" s="214"/>
      <c r="EY65" s="214"/>
      <c r="EZ65" s="214"/>
      <c r="FA65" s="214"/>
      <c r="FB65" s="214"/>
      <c r="FC65" s="214"/>
      <c r="FD65" s="214"/>
      <c r="FE65" s="214"/>
      <c r="FF65" s="214"/>
      <c r="FG65" s="214"/>
      <c r="FH65" s="214"/>
      <c r="FI65" s="214"/>
      <c r="FJ65" s="214"/>
      <c r="FK65" s="214"/>
      <c r="FL65" s="214"/>
      <c r="FM65" s="214"/>
      <c r="FN65" s="214"/>
      <c r="FO65" s="214"/>
      <c r="FP65" s="214"/>
      <c r="FQ65" s="214"/>
      <c r="FR65" s="214"/>
      <c r="FS65" s="214"/>
      <c r="FT65" s="214"/>
      <c r="FU65" s="214"/>
      <c r="FV65" s="214"/>
      <c r="FW65" s="214"/>
      <c r="FX65" s="214"/>
      <c r="FY65" s="214"/>
      <c r="FZ65" s="214"/>
      <c r="GA65" s="214"/>
      <c r="GB65" s="214"/>
      <c r="GC65" s="214"/>
      <c r="GD65" s="214"/>
      <c r="GE65" s="214"/>
      <c r="GF65" s="214"/>
      <c r="GG65" s="214"/>
      <c r="GH65" s="214"/>
      <c r="GI65" s="214"/>
      <c r="GJ65" s="214"/>
      <c r="GK65" s="214"/>
      <c r="GL65" s="214"/>
      <c r="GM65" s="214"/>
      <c r="GN65" s="214"/>
      <c r="GO65" s="214"/>
      <c r="GP65" s="214"/>
      <c r="GQ65" s="214"/>
      <c r="GR65" s="214"/>
      <c r="GS65" s="214"/>
      <c r="GT65" s="214"/>
      <c r="GU65" s="214"/>
      <c r="GV65" s="214"/>
      <c r="GW65" s="214"/>
      <c r="GX65" s="214"/>
      <c r="GY65" s="214"/>
      <c r="GZ65" s="214"/>
      <c r="HA65" s="214"/>
      <c r="HB65" s="214"/>
      <c r="HC65" s="214"/>
      <c r="HD65" s="214"/>
      <c r="HE65" s="214"/>
      <c r="HF65" s="214"/>
      <c r="HG65" s="214"/>
      <c r="HH65" s="214"/>
      <c r="HI65" s="214"/>
      <c r="HJ65" s="214"/>
      <c r="HK65" s="214"/>
      <c r="HL65" s="214"/>
      <c r="HM65" s="214"/>
      <c r="HN65" s="214"/>
      <c r="HO65" s="214"/>
      <c r="HP65" s="214"/>
      <c r="HQ65" s="214"/>
      <c r="HR65" s="214"/>
      <c r="HS65" s="214"/>
      <c r="HT65" s="214"/>
      <c r="HU65" s="214"/>
      <c r="HV65" s="214"/>
      <c r="HW65" s="214"/>
      <c r="HX65" s="214"/>
      <c r="HY65" s="214"/>
      <c r="HZ65" s="214"/>
      <c r="IA65" s="214"/>
      <c r="IB65" s="214"/>
      <c r="IC65" s="214"/>
      <c r="ID65" s="214"/>
      <c r="IE65" s="214"/>
      <c r="IF65" s="214"/>
      <c r="IG65" s="214"/>
      <c r="IH65" s="214"/>
      <c r="II65" s="214"/>
      <c r="IJ65" s="214"/>
      <c r="IK65" s="214"/>
      <c r="IL65" s="214"/>
      <c r="IM65" s="214"/>
      <c r="IN65" s="214"/>
      <c r="IO65" s="214"/>
      <c r="IP65" s="214"/>
      <c r="IQ65" s="214"/>
      <c r="IR65" s="214"/>
      <c r="IS65" s="214"/>
      <c r="IT65" s="214"/>
      <c r="IU65" s="214"/>
      <c r="IV65" s="214"/>
      <c r="IW65" s="214"/>
      <c r="IX65" s="214"/>
      <c r="IY65" s="214"/>
      <c r="IZ65" s="214"/>
      <c r="JA65" s="214"/>
      <c r="JB65" s="214"/>
      <c r="JC65" s="214"/>
      <c r="JD65" s="214"/>
      <c r="JE65" s="214"/>
      <c r="JF65" s="214"/>
      <c r="JG65" s="214"/>
      <c r="JH65" s="214"/>
      <c r="JI65" s="214"/>
    </row>
    <row r="66" spans="1:269">
      <c r="A66" s="149"/>
      <c r="B66" s="152"/>
      <c r="C66" s="152"/>
      <c r="D66" s="305"/>
      <c r="E66" s="214"/>
      <c r="F66" s="214"/>
      <c r="G66" s="214"/>
      <c r="H66" s="214"/>
      <c r="I66" s="214"/>
      <c r="J66" s="214"/>
      <c r="K66" s="214"/>
      <c r="L66" s="214"/>
      <c r="M66" s="214"/>
      <c r="N66" s="214"/>
      <c r="O66" s="214"/>
      <c r="P66" s="214"/>
      <c r="Q66" s="214"/>
      <c r="R66" s="214"/>
      <c r="S66" s="214"/>
      <c r="T66" s="214"/>
      <c r="U66" s="214"/>
      <c r="V66" s="214"/>
      <c r="W66" s="214"/>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c r="CE66" s="214"/>
      <c r="CF66" s="214"/>
      <c r="CG66" s="214"/>
      <c r="CH66" s="214"/>
      <c r="CI66" s="214"/>
      <c r="CJ66" s="214"/>
      <c r="CK66" s="214"/>
      <c r="CL66" s="214"/>
      <c r="CM66" s="214"/>
      <c r="CN66" s="214"/>
      <c r="CO66" s="214"/>
      <c r="CP66" s="214"/>
      <c r="CQ66" s="214"/>
      <c r="CR66" s="214"/>
      <c r="CS66" s="214"/>
      <c r="CT66" s="214"/>
      <c r="CU66" s="214"/>
      <c r="CV66" s="214"/>
      <c r="CW66" s="214"/>
      <c r="CX66" s="214"/>
      <c r="CY66" s="214"/>
      <c r="CZ66" s="214"/>
      <c r="DA66" s="214"/>
      <c r="DB66" s="214"/>
      <c r="DC66" s="214"/>
      <c r="DD66" s="214"/>
      <c r="DE66" s="214"/>
      <c r="DF66" s="214"/>
      <c r="DG66" s="214"/>
      <c r="DH66" s="214"/>
      <c r="DI66" s="214"/>
      <c r="DJ66" s="214"/>
      <c r="DK66" s="214"/>
      <c r="DL66" s="214"/>
      <c r="DM66" s="214"/>
      <c r="DN66" s="214"/>
      <c r="DO66" s="214"/>
      <c r="DP66" s="214"/>
      <c r="DQ66" s="214"/>
      <c r="DR66" s="214"/>
      <c r="DS66" s="214"/>
      <c r="DT66" s="214"/>
      <c r="DU66" s="214"/>
      <c r="DV66" s="214"/>
      <c r="DW66" s="214"/>
      <c r="DX66" s="214"/>
      <c r="DY66" s="214"/>
      <c r="DZ66" s="214"/>
      <c r="EA66" s="214"/>
      <c r="EB66" s="214"/>
      <c r="EC66" s="214"/>
      <c r="ED66" s="214"/>
      <c r="EE66" s="214"/>
      <c r="EF66" s="214"/>
      <c r="EG66" s="214"/>
      <c r="EH66" s="214"/>
      <c r="EI66" s="214"/>
      <c r="EJ66" s="214"/>
      <c r="EK66" s="214"/>
      <c r="EL66" s="214"/>
      <c r="EM66" s="214"/>
      <c r="EN66" s="214"/>
      <c r="EO66" s="214"/>
      <c r="EP66" s="214"/>
      <c r="EQ66" s="214"/>
      <c r="ER66" s="214"/>
      <c r="ES66" s="214"/>
      <c r="ET66" s="214"/>
      <c r="EU66" s="214"/>
      <c r="EV66" s="214"/>
      <c r="EW66" s="214"/>
      <c r="EX66" s="214"/>
      <c r="EY66" s="214"/>
      <c r="EZ66" s="214"/>
      <c r="FA66" s="214"/>
      <c r="FB66" s="214"/>
      <c r="FC66" s="214"/>
      <c r="FD66" s="214"/>
      <c r="FE66" s="214"/>
      <c r="FF66" s="214"/>
      <c r="FG66" s="214"/>
      <c r="FH66" s="214"/>
      <c r="FI66" s="214"/>
      <c r="FJ66" s="214"/>
      <c r="FK66" s="214"/>
      <c r="FL66" s="214"/>
      <c r="FM66" s="214"/>
      <c r="FN66" s="214"/>
      <c r="FO66" s="214"/>
      <c r="FP66" s="214"/>
      <c r="FQ66" s="214"/>
      <c r="FR66" s="214"/>
      <c r="FS66" s="214"/>
      <c r="FT66" s="214"/>
      <c r="FU66" s="214"/>
      <c r="FV66" s="214"/>
      <c r="FW66" s="214"/>
      <c r="FX66" s="214"/>
      <c r="FY66" s="214"/>
      <c r="FZ66" s="214"/>
      <c r="GA66" s="214"/>
      <c r="GB66" s="214"/>
      <c r="GC66" s="214"/>
      <c r="GD66" s="214"/>
      <c r="GE66" s="214"/>
      <c r="GF66" s="214"/>
      <c r="GG66" s="214"/>
      <c r="GH66" s="214"/>
      <c r="GI66" s="214"/>
      <c r="GJ66" s="214"/>
      <c r="GK66" s="214"/>
      <c r="GL66" s="214"/>
      <c r="GM66" s="214"/>
      <c r="GN66" s="214"/>
      <c r="GO66" s="214"/>
      <c r="GP66" s="214"/>
      <c r="GQ66" s="214"/>
      <c r="GR66" s="214"/>
      <c r="GS66" s="214"/>
      <c r="GT66" s="214"/>
      <c r="GU66" s="214"/>
      <c r="GV66" s="214"/>
      <c r="GW66" s="214"/>
      <c r="GX66" s="214"/>
      <c r="GY66" s="214"/>
      <c r="GZ66" s="214"/>
      <c r="HA66" s="214"/>
      <c r="HB66" s="214"/>
      <c r="HC66" s="214"/>
      <c r="HD66" s="214"/>
      <c r="HE66" s="214"/>
      <c r="HF66" s="214"/>
      <c r="HG66" s="214"/>
      <c r="HH66" s="214"/>
      <c r="HI66" s="214"/>
      <c r="HJ66" s="214"/>
      <c r="HK66" s="214"/>
      <c r="HL66" s="214"/>
      <c r="HM66" s="214"/>
      <c r="HN66" s="214"/>
      <c r="HO66" s="214"/>
      <c r="HP66" s="214"/>
      <c r="HQ66" s="214"/>
      <c r="HR66" s="214"/>
      <c r="HS66" s="214"/>
      <c r="HT66" s="214"/>
      <c r="HU66" s="214"/>
      <c r="HV66" s="214"/>
      <c r="HW66" s="214"/>
      <c r="HX66" s="214"/>
      <c r="HY66" s="214"/>
      <c r="HZ66" s="214"/>
      <c r="IA66" s="214"/>
      <c r="IB66" s="214"/>
      <c r="IC66" s="214"/>
      <c r="ID66" s="214"/>
      <c r="IE66" s="214"/>
      <c r="IF66" s="214"/>
      <c r="IG66" s="214"/>
      <c r="IH66" s="214"/>
      <c r="II66" s="214"/>
      <c r="IJ66" s="214"/>
      <c r="IK66" s="214"/>
      <c r="IL66" s="214"/>
      <c r="IM66" s="214"/>
      <c r="IN66" s="214"/>
      <c r="IO66" s="214"/>
      <c r="IP66" s="214"/>
      <c r="IQ66" s="214"/>
      <c r="IR66" s="214"/>
      <c r="IS66" s="214"/>
      <c r="IT66" s="214"/>
      <c r="IU66" s="214"/>
      <c r="IV66" s="214"/>
      <c r="IW66" s="214"/>
      <c r="IX66" s="214"/>
      <c r="IY66" s="214"/>
      <c r="IZ66" s="214"/>
      <c r="JA66" s="214"/>
      <c r="JB66" s="214"/>
      <c r="JC66" s="214"/>
      <c r="JD66" s="214"/>
      <c r="JE66" s="214"/>
      <c r="JF66" s="214"/>
      <c r="JG66" s="214"/>
      <c r="JH66" s="214"/>
      <c r="JI66" s="214"/>
    </row>
    <row r="67" spans="1:269">
      <c r="A67" s="149"/>
      <c r="B67" s="152"/>
      <c r="C67" s="152"/>
      <c r="D67" s="305"/>
      <c r="E67" s="214"/>
      <c r="F67" s="214"/>
      <c r="G67" s="214"/>
      <c r="H67" s="214"/>
      <c r="I67" s="214"/>
      <c r="J67" s="214"/>
      <c r="K67" s="214"/>
      <c r="L67" s="214"/>
      <c r="M67" s="214"/>
      <c r="N67" s="214"/>
      <c r="O67" s="214"/>
      <c r="P67" s="214"/>
      <c r="Q67" s="214"/>
      <c r="R67" s="214"/>
      <c r="S67" s="214"/>
      <c r="T67" s="214"/>
      <c r="U67" s="214"/>
      <c r="V67" s="214"/>
      <c r="W67" s="214"/>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c r="CE67" s="214"/>
      <c r="CF67" s="214"/>
      <c r="CG67" s="214"/>
      <c r="CH67" s="214"/>
      <c r="CI67" s="214"/>
      <c r="CJ67" s="214"/>
      <c r="CK67" s="214"/>
      <c r="CL67" s="214"/>
      <c r="CM67" s="214"/>
      <c r="CN67" s="214"/>
      <c r="CO67" s="214"/>
      <c r="CP67" s="214"/>
      <c r="CQ67" s="214"/>
      <c r="CR67" s="214"/>
      <c r="CS67" s="214"/>
      <c r="CT67" s="214"/>
      <c r="CU67" s="214"/>
      <c r="CV67" s="214"/>
      <c r="CW67" s="214"/>
      <c r="CX67" s="214"/>
      <c r="CY67" s="214"/>
      <c r="CZ67" s="214"/>
      <c r="DA67" s="214"/>
      <c r="DB67" s="214"/>
      <c r="DC67" s="214"/>
      <c r="DD67" s="214"/>
      <c r="DE67" s="214"/>
      <c r="DF67" s="214"/>
      <c r="DG67" s="214"/>
      <c r="DH67" s="214"/>
      <c r="DI67" s="214"/>
      <c r="DJ67" s="214"/>
      <c r="DK67" s="214"/>
      <c r="DL67" s="214"/>
      <c r="DM67" s="214"/>
      <c r="DN67" s="214"/>
      <c r="DO67" s="214"/>
      <c r="DP67" s="214"/>
      <c r="DQ67" s="214"/>
      <c r="DR67" s="214"/>
      <c r="DS67" s="214"/>
      <c r="DT67" s="214"/>
      <c r="DU67" s="214"/>
      <c r="DV67" s="214"/>
      <c r="DW67" s="214"/>
      <c r="DX67" s="214"/>
      <c r="DY67" s="214"/>
      <c r="DZ67" s="214"/>
      <c r="EA67" s="214"/>
      <c r="EB67" s="214"/>
      <c r="EC67" s="214"/>
      <c r="ED67" s="214"/>
      <c r="EE67" s="214"/>
      <c r="EF67" s="214"/>
      <c r="EG67" s="214"/>
      <c r="EH67" s="214"/>
      <c r="EI67" s="214"/>
      <c r="EJ67" s="214"/>
      <c r="EK67" s="214"/>
      <c r="EL67" s="214"/>
      <c r="EM67" s="214"/>
      <c r="EN67" s="214"/>
      <c r="EO67" s="214"/>
      <c r="EP67" s="214"/>
      <c r="EQ67" s="214"/>
      <c r="ER67" s="214"/>
      <c r="ES67" s="214"/>
      <c r="ET67" s="214"/>
      <c r="EU67" s="214"/>
      <c r="EV67" s="214"/>
      <c r="EW67" s="214"/>
      <c r="EX67" s="214"/>
      <c r="EY67" s="214"/>
      <c r="EZ67" s="214"/>
      <c r="FA67" s="214"/>
      <c r="FB67" s="214"/>
      <c r="FC67" s="214"/>
      <c r="FD67" s="214"/>
      <c r="FE67" s="214"/>
      <c r="FF67" s="214"/>
      <c r="FG67" s="214"/>
      <c r="FH67" s="214"/>
      <c r="FI67" s="214"/>
      <c r="FJ67" s="214"/>
      <c r="FK67" s="214"/>
      <c r="FL67" s="214"/>
      <c r="FM67" s="214"/>
      <c r="FN67" s="214"/>
      <c r="FO67" s="214"/>
      <c r="FP67" s="214"/>
      <c r="FQ67" s="214"/>
      <c r="FR67" s="214"/>
      <c r="FS67" s="214"/>
      <c r="FT67" s="214"/>
      <c r="FU67" s="214"/>
      <c r="FV67" s="214"/>
      <c r="FW67" s="214"/>
      <c r="FX67" s="214"/>
      <c r="FY67" s="214"/>
      <c r="FZ67" s="214"/>
      <c r="GA67" s="214"/>
      <c r="GB67" s="214"/>
      <c r="GC67" s="214"/>
      <c r="GD67" s="214"/>
      <c r="GE67" s="214"/>
      <c r="GF67" s="214"/>
      <c r="GG67" s="214"/>
      <c r="GH67" s="214"/>
      <c r="GI67" s="214"/>
      <c r="GJ67" s="214"/>
      <c r="GK67" s="214"/>
      <c r="GL67" s="214"/>
      <c r="GM67" s="214"/>
      <c r="GN67" s="214"/>
      <c r="GO67" s="214"/>
      <c r="GP67" s="214"/>
      <c r="GQ67" s="214"/>
      <c r="GR67" s="214"/>
      <c r="GS67" s="214"/>
      <c r="GT67" s="214"/>
      <c r="GU67" s="214"/>
      <c r="GV67" s="214"/>
      <c r="GW67" s="214"/>
      <c r="GX67" s="214"/>
      <c r="GY67" s="214"/>
      <c r="GZ67" s="214"/>
      <c r="HA67" s="214"/>
      <c r="HB67" s="214"/>
      <c r="HC67" s="214"/>
      <c r="HD67" s="214"/>
      <c r="HE67" s="214"/>
      <c r="HF67" s="214"/>
      <c r="HG67" s="214"/>
      <c r="HH67" s="214"/>
      <c r="HI67" s="214"/>
      <c r="HJ67" s="214"/>
      <c r="HK67" s="214"/>
      <c r="HL67" s="214"/>
      <c r="HM67" s="214"/>
      <c r="HN67" s="214"/>
      <c r="HO67" s="214"/>
      <c r="HP67" s="214"/>
      <c r="HQ67" s="214"/>
      <c r="HR67" s="214"/>
      <c r="HS67" s="214"/>
      <c r="HT67" s="214"/>
      <c r="HU67" s="214"/>
      <c r="HV67" s="214"/>
      <c r="HW67" s="214"/>
      <c r="HX67" s="214"/>
      <c r="HY67" s="214"/>
      <c r="HZ67" s="214"/>
      <c r="IA67" s="214"/>
      <c r="IB67" s="214"/>
      <c r="IC67" s="214"/>
      <c r="ID67" s="214"/>
      <c r="IE67" s="214"/>
      <c r="IF67" s="214"/>
      <c r="IG67" s="214"/>
      <c r="IH67" s="214"/>
      <c r="II67" s="214"/>
      <c r="IJ67" s="214"/>
      <c r="IK67" s="214"/>
      <c r="IL67" s="214"/>
      <c r="IM67" s="214"/>
      <c r="IN67" s="214"/>
      <c r="IO67" s="214"/>
      <c r="IP67" s="214"/>
      <c r="IQ67" s="214"/>
      <c r="IR67" s="214"/>
      <c r="IS67" s="214"/>
      <c r="IT67" s="214"/>
      <c r="IU67" s="214"/>
      <c r="IV67" s="214"/>
      <c r="IW67" s="214"/>
      <c r="IX67" s="214"/>
      <c r="IY67" s="214"/>
      <c r="IZ67" s="214"/>
      <c r="JA67" s="214"/>
      <c r="JB67" s="214"/>
      <c r="JC67" s="214"/>
      <c r="JD67" s="214"/>
      <c r="JE67" s="214"/>
      <c r="JF67" s="214"/>
      <c r="JG67" s="214"/>
      <c r="JH67" s="214"/>
      <c r="JI67" s="214"/>
    </row>
    <row r="68" spans="1:269">
      <c r="A68" s="149"/>
      <c r="B68" s="152"/>
      <c r="C68" s="152"/>
      <c r="D68" s="305"/>
      <c r="E68" s="214"/>
      <c r="F68" s="214"/>
      <c r="G68" s="214"/>
      <c r="H68" s="214"/>
      <c r="I68" s="214"/>
      <c r="J68" s="214"/>
      <c r="K68" s="214"/>
      <c r="L68" s="214"/>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c r="CG68" s="214"/>
      <c r="CH68" s="214"/>
      <c r="CI68" s="214"/>
      <c r="CJ68" s="214"/>
      <c r="CK68" s="214"/>
      <c r="CL68" s="214"/>
      <c r="CM68" s="214"/>
      <c r="CN68" s="214"/>
      <c r="CO68" s="214"/>
      <c r="CP68" s="214"/>
      <c r="CQ68" s="214"/>
      <c r="CR68" s="214"/>
      <c r="CS68" s="214"/>
      <c r="CT68" s="214"/>
      <c r="CU68" s="214"/>
      <c r="CV68" s="214"/>
      <c r="CW68" s="214"/>
      <c r="CX68" s="214"/>
      <c r="CY68" s="214"/>
      <c r="CZ68" s="214"/>
      <c r="DA68" s="214"/>
      <c r="DB68" s="214"/>
      <c r="DC68" s="214"/>
      <c r="DD68" s="214"/>
      <c r="DE68" s="214"/>
      <c r="DF68" s="214"/>
      <c r="DG68" s="214"/>
      <c r="DH68" s="214"/>
      <c r="DI68" s="214"/>
      <c r="DJ68" s="214"/>
      <c r="DK68" s="214"/>
      <c r="DL68" s="214"/>
      <c r="DM68" s="214"/>
      <c r="DN68" s="214"/>
      <c r="DO68" s="214"/>
      <c r="DP68" s="214"/>
      <c r="DQ68" s="214"/>
      <c r="DR68" s="214"/>
      <c r="DS68" s="214"/>
      <c r="DT68" s="214"/>
      <c r="DU68" s="214"/>
      <c r="DV68" s="214"/>
      <c r="DW68" s="214"/>
      <c r="DX68" s="214"/>
      <c r="DY68" s="214"/>
      <c r="DZ68" s="214"/>
      <c r="EA68" s="214"/>
      <c r="EB68" s="214"/>
      <c r="EC68" s="214"/>
      <c r="ED68" s="214"/>
      <c r="EE68" s="214"/>
      <c r="EF68" s="214"/>
      <c r="EG68" s="214"/>
      <c r="EH68" s="214"/>
      <c r="EI68" s="214"/>
      <c r="EJ68" s="214"/>
      <c r="EK68" s="214"/>
      <c r="EL68" s="214"/>
      <c r="EM68" s="214"/>
      <c r="EN68" s="214"/>
      <c r="EO68" s="214"/>
      <c r="EP68" s="214"/>
      <c r="EQ68" s="214"/>
      <c r="ER68" s="214"/>
      <c r="ES68" s="214"/>
      <c r="ET68" s="214"/>
      <c r="EU68" s="214"/>
      <c r="EV68" s="214"/>
      <c r="EW68" s="214"/>
      <c r="EX68" s="214"/>
      <c r="EY68" s="214"/>
      <c r="EZ68" s="214"/>
      <c r="FA68" s="214"/>
      <c r="FB68" s="214"/>
      <c r="FC68" s="214"/>
      <c r="FD68" s="214"/>
      <c r="FE68" s="214"/>
      <c r="FF68" s="214"/>
      <c r="FG68" s="214"/>
      <c r="FH68" s="214"/>
      <c r="FI68" s="214"/>
      <c r="FJ68" s="214"/>
      <c r="FK68" s="214"/>
      <c r="FL68" s="214"/>
      <c r="FM68" s="214"/>
      <c r="FN68" s="214"/>
      <c r="FO68" s="214"/>
      <c r="FP68" s="214"/>
      <c r="FQ68" s="214"/>
      <c r="FR68" s="214"/>
      <c r="FS68" s="214"/>
      <c r="FT68" s="214"/>
      <c r="FU68" s="214"/>
      <c r="FV68" s="214"/>
      <c r="FW68" s="214"/>
      <c r="FX68" s="214"/>
      <c r="FY68" s="214"/>
      <c r="FZ68" s="214"/>
      <c r="GA68" s="214"/>
      <c r="GB68" s="214"/>
      <c r="GC68" s="214"/>
      <c r="GD68" s="214"/>
      <c r="GE68" s="214"/>
      <c r="GF68" s="214"/>
      <c r="GG68" s="214"/>
      <c r="GH68" s="214"/>
      <c r="GI68" s="214"/>
      <c r="GJ68" s="214"/>
      <c r="GK68" s="214"/>
      <c r="GL68" s="214"/>
      <c r="GM68" s="214"/>
      <c r="GN68" s="214"/>
      <c r="GO68" s="214"/>
      <c r="GP68" s="214"/>
      <c r="GQ68" s="214"/>
      <c r="GR68" s="214"/>
      <c r="GS68" s="214"/>
      <c r="GT68" s="214"/>
      <c r="GU68" s="214"/>
      <c r="GV68" s="214"/>
      <c r="GW68" s="214"/>
      <c r="GX68" s="214"/>
      <c r="GY68" s="214"/>
      <c r="GZ68" s="214"/>
      <c r="HA68" s="214"/>
      <c r="HB68" s="214"/>
      <c r="HC68" s="214"/>
      <c r="HD68" s="214"/>
      <c r="HE68" s="214"/>
      <c r="HF68" s="214"/>
      <c r="HG68" s="214"/>
      <c r="HH68" s="214"/>
      <c r="HI68" s="214"/>
      <c r="HJ68" s="214"/>
      <c r="HK68" s="214"/>
      <c r="HL68" s="214"/>
      <c r="HM68" s="214"/>
      <c r="HN68" s="214"/>
      <c r="HO68" s="214"/>
      <c r="HP68" s="214"/>
      <c r="HQ68" s="214"/>
      <c r="HR68" s="214"/>
      <c r="HS68" s="214"/>
      <c r="HT68" s="214"/>
      <c r="HU68" s="214"/>
      <c r="HV68" s="214"/>
      <c r="HW68" s="214"/>
      <c r="HX68" s="214"/>
      <c r="HY68" s="214"/>
      <c r="HZ68" s="214"/>
      <c r="IA68" s="214"/>
      <c r="IB68" s="214"/>
      <c r="IC68" s="214"/>
      <c r="ID68" s="214"/>
      <c r="IE68" s="214"/>
      <c r="IF68" s="214"/>
      <c r="IG68" s="214"/>
      <c r="IH68" s="214"/>
      <c r="II68" s="214"/>
      <c r="IJ68" s="214"/>
      <c r="IK68" s="214"/>
      <c r="IL68" s="214"/>
      <c r="IM68" s="214"/>
      <c r="IN68" s="214"/>
      <c r="IO68" s="214"/>
      <c r="IP68" s="214"/>
      <c r="IQ68" s="214"/>
      <c r="IR68" s="214"/>
      <c r="IS68" s="214"/>
      <c r="IT68" s="214"/>
      <c r="IU68" s="214"/>
      <c r="IV68" s="214"/>
      <c r="IW68" s="214"/>
      <c r="IX68" s="214"/>
      <c r="IY68" s="214"/>
      <c r="IZ68" s="214"/>
      <c r="JA68" s="214"/>
      <c r="JB68" s="214"/>
      <c r="JC68" s="214"/>
      <c r="JD68" s="214"/>
      <c r="JE68" s="214"/>
      <c r="JF68" s="214"/>
      <c r="JG68" s="214"/>
      <c r="JH68" s="214"/>
      <c r="JI68" s="214"/>
    </row>
    <row r="69" spans="1:269">
      <c r="A69" s="149"/>
      <c r="B69" s="152"/>
      <c r="C69" s="152"/>
      <c r="D69" s="305"/>
      <c r="E69" s="214"/>
      <c r="F69" s="214"/>
      <c r="G69" s="214"/>
      <c r="H69" s="214"/>
      <c r="I69" s="214"/>
      <c r="J69" s="214"/>
      <c r="K69" s="214"/>
      <c r="L69" s="214"/>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c r="CG69" s="214"/>
      <c r="CH69" s="214"/>
      <c r="CI69" s="214"/>
      <c r="CJ69" s="214"/>
      <c r="CK69" s="214"/>
      <c r="CL69" s="214"/>
      <c r="CM69" s="214"/>
      <c r="CN69" s="214"/>
      <c r="CO69" s="214"/>
      <c r="CP69" s="214"/>
      <c r="CQ69" s="214"/>
      <c r="CR69" s="214"/>
      <c r="CS69" s="214"/>
      <c r="CT69" s="214"/>
      <c r="CU69" s="214"/>
      <c r="CV69" s="214"/>
      <c r="CW69" s="214"/>
      <c r="CX69" s="214"/>
      <c r="CY69" s="214"/>
      <c r="CZ69" s="214"/>
      <c r="DA69" s="214"/>
      <c r="DB69" s="214"/>
      <c r="DC69" s="214"/>
      <c r="DD69" s="214"/>
      <c r="DE69" s="214"/>
      <c r="DF69" s="214"/>
      <c r="DG69" s="214"/>
      <c r="DH69" s="214"/>
      <c r="DI69" s="214"/>
      <c r="DJ69" s="214"/>
      <c r="DK69" s="214"/>
      <c r="DL69" s="214"/>
      <c r="DM69" s="214"/>
      <c r="DN69" s="214"/>
      <c r="DO69" s="214"/>
      <c r="DP69" s="214"/>
      <c r="DQ69" s="214"/>
      <c r="DR69" s="214"/>
      <c r="DS69" s="214"/>
      <c r="DT69" s="214"/>
      <c r="DU69" s="214"/>
      <c r="DV69" s="214"/>
      <c r="DW69" s="214"/>
      <c r="DX69" s="214"/>
      <c r="DY69" s="214"/>
      <c r="DZ69" s="214"/>
      <c r="EA69" s="214"/>
      <c r="EB69" s="214"/>
      <c r="EC69" s="214"/>
      <c r="ED69" s="214"/>
      <c r="EE69" s="214"/>
      <c r="EF69" s="214"/>
      <c r="EG69" s="214"/>
      <c r="EH69" s="214"/>
      <c r="EI69" s="214"/>
      <c r="EJ69" s="214"/>
      <c r="EK69" s="214"/>
      <c r="EL69" s="214"/>
      <c r="EM69" s="214"/>
      <c r="EN69" s="214"/>
      <c r="EO69" s="214"/>
      <c r="EP69" s="214"/>
      <c r="EQ69" s="214"/>
      <c r="ER69" s="214"/>
      <c r="ES69" s="214"/>
      <c r="ET69" s="214"/>
      <c r="EU69" s="214"/>
      <c r="EV69" s="214"/>
      <c r="EW69" s="214"/>
      <c r="EX69" s="214"/>
      <c r="EY69" s="214"/>
      <c r="EZ69" s="214"/>
      <c r="FA69" s="214"/>
      <c r="FB69" s="214"/>
      <c r="FC69" s="214"/>
      <c r="FD69" s="214"/>
      <c r="FE69" s="214"/>
      <c r="FF69" s="214"/>
      <c r="FG69" s="214"/>
      <c r="FH69" s="214"/>
      <c r="FI69" s="214"/>
      <c r="FJ69" s="214"/>
      <c r="FK69" s="214"/>
      <c r="FL69" s="214"/>
      <c r="FM69" s="214"/>
      <c r="FN69" s="214"/>
      <c r="FO69" s="214"/>
      <c r="FP69" s="214"/>
      <c r="FQ69" s="214"/>
      <c r="FR69" s="214"/>
      <c r="FS69" s="214"/>
      <c r="FT69" s="214"/>
      <c r="FU69" s="214"/>
      <c r="FV69" s="214"/>
      <c r="FW69" s="214"/>
      <c r="FX69" s="214"/>
      <c r="FY69" s="214"/>
      <c r="FZ69" s="214"/>
      <c r="GA69" s="214"/>
      <c r="GB69" s="214"/>
      <c r="GC69" s="214"/>
      <c r="GD69" s="214"/>
      <c r="GE69" s="214"/>
      <c r="GF69" s="214"/>
      <c r="GG69" s="214"/>
      <c r="GH69" s="214"/>
      <c r="GI69" s="214"/>
      <c r="GJ69" s="214"/>
      <c r="GK69" s="214"/>
      <c r="GL69" s="214"/>
      <c r="GM69" s="214"/>
      <c r="GN69" s="214"/>
      <c r="GO69" s="214"/>
      <c r="GP69" s="214"/>
      <c r="GQ69" s="214"/>
      <c r="GR69" s="214"/>
      <c r="GS69" s="214"/>
      <c r="GT69" s="214"/>
      <c r="GU69" s="214"/>
      <c r="GV69" s="214"/>
      <c r="GW69" s="214"/>
      <c r="GX69" s="214"/>
      <c r="GY69" s="214"/>
      <c r="GZ69" s="214"/>
      <c r="HA69" s="214"/>
      <c r="HB69" s="214"/>
      <c r="HC69" s="214"/>
      <c r="HD69" s="214"/>
      <c r="HE69" s="214"/>
      <c r="HF69" s="214"/>
      <c r="HG69" s="214"/>
      <c r="HH69" s="214"/>
      <c r="HI69" s="214"/>
      <c r="HJ69" s="214"/>
      <c r="HK69" s="214"/>
      <c r="HL69" s="214"/>
      <c r="HM69" s="214"/>
      <c r="HN69" s="214"/>
      <c r="HO69" s="214"/>
      <c r="HP69" s="214"/>
      <c r="HQ69" s="214"/>
      <c r="HR69" s="214"/>
      <c r="HS69" s="214"/>
      <c r="HT69" s="214"/>
      <c r="HU69" s="214"/>
      <c r="HV69" s="214"/>
      <c r="HW69" s="214"/>
      <c r="HX69" s="214"/>
      <c r="HY69" s="214"/>
      <c r="HZ69" s="214"/>
      <c r="IA69" s="214"/>
      <c r="IB69" s="214"/>
      <c r="IC69" s="214"/>
      <c r="ID69" s="214"/>
      <c r="IE69" s="214"/>
      <c r="IF69" s="214"/>
      <c r="IG69" s="214"/>
      <c r="IH69" s="214"/>
      <c r="II69" s="214"/>
      <c r="IJ69" s="214"/>
      <c r="IK69" s="214"/>
      <c r="IL69" s="214"/>
      <c r="IM69" s="214"/>
      <c r="IN69" s="214"/>
      <c r="IO69" s="214"/>
      <c r="IP69" s="214"/>
      <c r="IQ69" s="214"/>
      <c r="IR69" s="214"/>
      <c r="IS69" s="214"/>
      <c r="IT69" s="214"/>
      <c r="IU69" s="214"/>
      <c r="IV69" s="214"/>
      <c r="IW69" s="214"/>
      <c r="IX69" s="214"/>
      <c r="IY69" s="214"/>
      <c r="IZ69" s="214"/>
      <c r="JA69" s="214"/>
      <c r="JB69" s="214"/>
      <c r="JC69" s="214"/>
      <c r="JD69" s="214"/>
      <c r="JE69" s="214"/>
      <c r="JF69" s="214"/>
      <c r="JG69" s="214"/>
      <c r="JH69" s="214"/>
      <c r="JI69" s="214"/>
    </row>
    <row r="70" spans="1:269">
      <c r="A70" s="149"/>
      <c r="B70" s="152"/>
      <c r="C70" s="152"/>
      <c r="D70" s="305"/>
      <c r="E70" s="214"/>
      <c r="F70" s="214"/>
      <c r="G70" s="214"/>
      <c r="H70" s="214"/>
      <c r="I70" s="214"/>
      <c r="J70" s="214"/>
      <c r="K70" s="214"/>
      <c r="L70" s="214"/>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c r="CG70" s="214"/>
      <c r="CH70" s="214"/>
      <c r="CI70" s="214"/>
      <c r="CJ70" s="214"/>
      <c r="CK70" s="214"/>
      <c r="CL70" s="214"/>
      <c r="CM70" s="214"/>
      <c r="CN70" s="214"/>
      <c r="CO70" s="214"/>
      <c r="CP70" s="214"/>
      <c r="CQ70" s="214"/>
      <c r="CR70" s="214"/>
      <c r="CS70" s="214"/>
      <c r="CT70" s="214"/>
      <c r="CU70" s="214"/>
      <c r="CV70" s="214"/>
      <c r="CW70" s="214"/>
      <c r="CX70" s="214"/>
      <c r="CY70" s="214"/>
      <c r="CZ70" s="214"/>
      <c r="DA70" s="214"/>
      <c r="DB70" s="214"/>
      <c r="DC70" s="214"/>
      <c r="DD70" s="214"/>
      <c r="DE70" s="214"/>
      <c r="DF70" s="214"/>
      <c r="DG70" s="214"/>
      <c r="DH70" s="214"/>
      <c r="DI70" s="214"/>
      <c r="DJ70" s="214"/>
      <c r="DK70" s="214"/>
      <c r="DL70" s="214"/>
      <c r="DM70" s="214"/>
      <c r="DN70" s="214"/>
      <c r="DO70" s="214"/>
      <c r="DP70" s="214"/>
      <c r="DQ70" s="214"/>
      <c r="DR70" s="214"/>
      <c r="DS70" s="214"/>
      <c r="DT70" s="214"/>
      <c r="DU70" s="214"/>
      <c r="DV70" s="214"/>
      <c r="DW70" s="214"/>
      <c r="DX70" s="214"/>
      <c r="DY70" s="214"/>
      <c r="DZ70" s="214"/>
      <c r="EA70" s="214"/>
      <c r="EB70" s="214"/>
      <c r="EC70" s="214"/>
      <c r="ED70" s="214"/>
      <c r="EE70" s="214"/>
      <c r="EF70" s="214"/>
      <c r="EG70" s="214"/>
      <c r="EH70" s="214"/>
      <c r="EI70" s="214"/>
      <c r="EJ70" s="214"/>
      <c r="EK70" s="214"/>
      <c r="EL70" s="214"/>
      <c r="EM70" s="214"/>
      <c r="EN70" s="214"/>
      <c r="EO70" s="214"/>
      <c r="EP70" s="214"/>
      <c r="EQ70" s="214"/>
      <c r="ER70" s="214"/>
      <c r="ES70" s="214"/>
      <c r="ET70" s="214"/>
      <c r="EU70" s="214"/>
      <c r="EV70" s="214"/>
      <c r="EW70" s="214"/>
      <c r="EX70" s="214"/>
      <c r="EY70" s="214"/>
      <c r="EZ70" s="214"/>
      <c r="FA70" s="214"/>
      <c r="FB70" s="214"/>
      <c r="FC70" s="214"/>
      <c r="FD70" s="214"/>
      <c r="FE70" s="214"/>
      <c r="FF70" s="214"/>
      <c r="FG70" s="214"/>
      <c r="FH70" s="214"/>
      <c r="FI70" s="214"/>
      <c r="FJ70" s="214"/>
      <c r="FK70" s="214"/>
      <c r="FL70" s="214"/>
      <c r="FM70" s="214"/>
      <c r="FN70" s="214"/>
      <c r="FO70" s="214"/>
      <c r="FP70" s="214"/>
      <c r="FQ70" s="214"/>
      <c r="FR70" s="214"/>
      <c r="FS70" s="214"/>
      <c r="FT70" s="214"/>
      <c r="FU70" s="214"/>
      <c r="FV70" s="214"/>
      <c r="FW70" s="214"/>
      <c r="FX70" s="214"/>
      <c r="FY70" s="214"/>
      <c r="FZ70" s="214"/>
      <c r="GA70" s="214"/>
      <c r="GB70" s="214"/>
      <c r="GC70" s="214"/>
      <c r="GD70" s="214"/>
      <c r="GE70" s="214"/>
      <c r="GF70" s="214"/>
      <c r="GG70" s="214"/>
      <c r="GH70" s="214"/>
      <c r="GI70" s="214"/>
      <c r="GJ70" s="214"/>
      <c r="GK70" s="214"/>
      <c r="GL70" s="214"/>
      <c r="GM70" s="214"/>
      <c r="GN70" s="214"/>
      <c r="GO70" s="214"/>
      <c r="GP70" s="214"/>
      <c r="GQ70" s="214"/>
      <c r="GR70" s="214"/>
      <c r="GS70" s="214"/>
      <c r="GT70" s="214"/>
      <c r="GU70" s="214"/>
      <c r="GV70" s="214"/>
      <c r="GW70" s="214"/>
      <c r="GX70" s="214"/>
      <c r="GY70" s="214"/>
      <c r="GZ70" s="214"/>
      <c r="HA70" s="214"/>
      <c r="HB70" s="214"/>
      <c r="HC70" s="214"/>
      <c r="HD70" s="214"/>
      <c r="HE70" s="214"/>
      <c r="HF70" s="214"/>
      <c r="HG70" s="214"/>
      <c r="HH70" s="214"/>
      <c r="HI70" s="214"/>
      <c r="HJ70" s="214"/>
      <c r="HK70" s="214"/>
      <c r="HL70" s="214"/>
      <c r="HM70" s="214"/>
      <c r="HN70" s="214"/>
      <c r="HO70" s="214"/>
      <c r="HP70" s="214"/>
      <c r="HQ70" s="214"/>
      <c r="HR70" s="214"/>
      <c r="HS70" s="214"/>
      <c r="HT70" s="214"/>
      <c r="HU70" s="214"/>
      <c r="HV70" s="214"/>
      <c r="HW70" s="214"/>
      <c r="HX70" s="214"/>
      <c r="HY70" s="214"/>
      <c r="HZ70" s="214"/>
      <c r="IA70" s="214"/>
      <c r="IB70" s="214"/>
      <c r="IC70" s="214"/>
      <c r="ID70" s="214"/>
      <c r="IE70" s="214"/>
      <c r="IF70" s="214"/>
      <c r="IG70" s="214"/>
      <c r="IH70" s="214"/>
      <c r="II70" s="214"/>
      <c r="IJ70" s="214"/>
      <c r="IK70" s="214"/>
      <c r="IL70" s="214"/>
      <c r="IM70" s="214"/>
      <c r="IN70" s="214"/>
      <c r="IO70" s="214"/>
      <c r="IP70" s="214"/>
      <c r="IQ70" s="214"/>
      <c r="IR70" s="214"/>
      <c r="IS70" s="214"/>
      <c r="IT70" s="214"/>
      <c r="IU70" s="214"/>
      <c r="IV70" s="214"/>
      <c r="IW70" s="214"/>
      <c r="IX70" s="214"/>
      <c r="IY70" s="214"/>
      <c r="IZ70" s="214"/>
      <c r="JA70" s="214"/>
      <c r="JB70" s="214"/>
      <c r="JC70" s="214"/>
      <c r="JD70" s="214"/>
      <c r="JE70" s="214"/>
      <c r="JF70" s="214"/>
      <c r="JG70" s="214"/>
      <c r="JH70" s="214"/>
      <c r="JI70" s="214"/>
    </row>
    <row r="71" spans="1:269">
      <c r="A71" s="149"/>
      <c r="B71" s="152"/>
      <c r="C71" s="152"/>
      <c r="D71" s="305"/>
      <c r="E71" s="214"/>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c r="CG71" s="214"/>
      <c r="CH71" s="214"/>
      <c r="CI71" s="214"/>
      <c r="CJ71" s="214"/>
      <c r="CK71" s="214"/>
      <c r="CL71" s="214"/>
      <c r="CM71" s="214"/>
      <c r="CN71" s="214"/>
      <c r="CO71" s="214"/>
      <c r="CP71" s="214"/>
      <c r="CQ71" s="214"/>
      <c r="CR71" s="214"/>
      <c r="CS71" s="214"/>
      <c r="CT71" s="214"/>
      <c r="CU71" s="214"/>
      <c r="CV71" s="214"/>
      <c r="CW71" s="214"/>
      <c r="CX71" s="214"/>
      <c r="CY71" s="214"/>
      <c r="CZ71" s="214"/>
      <c r="DA71" s="214"/>
      <c r="DB71" s="214"/>
      <c r="DC71" s="214"/>
      <c r="DD71" s="214"/>
      <c r="DE71" s="214"/>
      <c r="DF71" s="214"/>
      <c r="DG71" s="214"/>
      <c r="DH71" s="214"/>
      <c r="DI71" s="214"/>
      <c r="DJ71" s="214"/>
      <c r="DK71" s="214"/>
      <c r="DL71" s="214"/>
      <c r="DM71" s="214"/>
      <c r="DN71" s="214"/>
      <c r="DO71" s="214"/>
      <c r="DP71" s="214"/>
      <c r="DQ71" s="214"/>
      <c r="DR71" s="214"/>
      <c r="DS71" s="214"/>
      <c r="DT71" s="214"/>
      <c r="DU71" s="214"/>
      <c r="DV71" s="214"/>
      <c r="DW71" s="214"/>
      <c r="DX71" s="214"/>
      <c r="DY71" s="214"/>
      <c r="DZ71" s="214"/>
      <c r="EA71" s="214"/>
      <c r="EB71" s="214"/>
      <c r="EC71" s="214"/>
      <c r="ED71" s="214"/>
      <c r="EE71" s="214"/>
      <c r="EF71" s="214"/>
      <c r="EG71" s="214"/>
      <c r="EH71" s="214"/>
      <c r="EI71" s="214"/>
      <c r="EJ71" s="214"/>
      <c r="EK71" s="214"/>
      <c r="EL71" s="214"/>
      <c r="EM71" s="214"/>
      <c r="EN71" s="214"/>
      <c r="EO71" s="214"/>
      <c r="EP71" s="214"/>
      <c r="EQ71" s="214"/>
      <c r="ER71" s="214"/>
      <c r="ES71" s="214"/>
      <c r="ET71" s="214"/>
      <c r="EU71" s="214"/>
      <c r="EV71" s="214"/>
      <c r="EW71" s="214"/>
      <c r="EX71" s="214"/>
      <c r="EY71" s="214"/>
      <c r="EZ71" s="214"/>
      <c r="FA71" s="214"/>
      <c r="FB71" s="214"/>
      <c r="FC71" s="214"/>
      <c r="FD71" s="214"/>
      <c r="FE71" s="214"/>
      <c r="FF71" s="214"/>
      <c r="FG71" s="214"/>
      <c r="FH71" s="214"/>
      <c r="FI71" s="214"/>
      <c r="FJ71" s="214"/>
      <c r="FK71" s="214"/>
      <c r="FL71" s="214"/>
      <c r="FM71" s="214"/>
      <c r="FN71" s="214"/>
      <c r="FO71" s="214"/>
      <c r="FP71" s="214"/>
      <c r="FQ71" s="214"/>
      <c r="FR71" s="214"/>
      <c r="FS71" s="214"/>
      <c r="FT71" s="214"/>
      <c r="FU71" s="214"/>
      <c r="FV71" s="214"/>
      <c r="FW71" s="214"/>
      <c r="FX71" s="214"/>
      <c r="FY71" s="214"/>
      <c r="FZ71" s="214"/>
      <c r="GA71" s="214"/>
      <c r="GB71" s="214"/>
      <c r="GC71" s="214"/>
      <c r="GD71" s="214"/>
      <c r="GE71" s="214"/>
      <c r="GF71" s="214"/>
      <c r="GG71" s="214"/>
      <c r="GH71" s="214"/>
      <c r="GI71" s="214"/>
      <c r="GJ71" s="214"/>
      <c r="GK71" s="214"/>
      <c r="GL71" s="214"/>
      <c r="GM71" s="214"/>
      <c r="GN71" s="214"/>
      <c r="GO71" s="214"/>
      <c r="GP71" s="214"/>
      <c r="GQ71" s="214"/>
      <c r="GR71" s="214"/>
      <c r="GS71" s="214"/>
      <c r="GT71" s="214"/>
      <c r="GU71" s="214"/>
      <c r="GV71" s="214"/>
      <c r="GW71" s="214"/>
      <c r="GX71" s="214"/>
      <c r="GY71" s="214"/>
      <c r="GZ71" s="214"/>
      <c r="HA71" s="214"/>
      <c r="HB71" s="214"/>
      <c r="HC71" s="214"/>
      <c r="HD71" s="214"/>
      <c r="HE71" s="214"/>
      <c r="HF71" s="214"/>
      <c r="HG71" s="214"/>
      <c r="HH71" s="214"/>
      <c r="HI71" s="214"/>
      <c r="HJ71" s="214"/>
      <c r="HK71" s="214"/>
      <c r="HL71" s="214"/>
      <c r="HM71" s="214"/>
      <c r="HN71" s="214"/>
      <c r="HO71" s="214"/>
      <c r="HP71" s="214"/>
      <c r="HQ71" s="214"/>
      <c r="HR71" s="214"/>
      <c r="HS71" s="214"/>
      <c r="HT71" s="214"/>
      <c r="HU71" s="214"/>
      <c r="HV71" s="214"/>
      <c r="HW71" s="214"/>
      <c r="HX71" s="214"/>
      <c r="HY71" s="214"/>
      <c r="HZ71" s="214"/>
      <c r="IA71" s="214"/>
      <c r="IB71" s="214"/>
      <c r="IC71" s="214"/>
      <c r="ID71" s="214"/>
      <c r="IE71" s="214"/>
      <c r="IF71" s="214"/>
      <c r="IG71" s="214"/>
      <c r="IH71" s="214"/>
      <c r="II71" s="214"/>
      <c r="IJ71" s="214"/>
      <c r="IK71" s="214"/>
      <c r="IL71" s="214"/>
      <c r="IM71" s="214"/>
      <c r="IN71" s="214"/>
      <c r="IO71" s="214"/>
      <c r="IP71" s="214"/>
      <c r="IQ71" s="214"/>
      <c r="IR71" s="214"/>
      <c r="IS71" s="214"/>
      <c r="IT71" s="214"/>
      <c r="IU71" s="214"/>
      <c r="IV71" s="214"/>
      <c r="IW71" s="214"/>
      <c r="IX71" s="214"/>
      <c r="IY71" s="214"/>
      <c r="IZ71" s="214"/>
      <c r="JA71" s="214"/>
      <c r="JB71" s="214"/>
      <c r="JC71" s="214"/>
      <c r="JD71" s="214"/>
      <c r="JE71" s="214"/>
      <c r="JF71" s="214"/>
      <c r="JG71" s="214"/>
      <c r="JH71" s="214"/>
      <c r="JI71" s="214"/>
    </row>
    <row r="72" spans="1:269">
      <c r="A72" s="155"/>
      <c r="B72" s="156"/>
      <c r="C72" s="156"/>
      <c r="D72" s="307"/>
      <c r="E72" s="214"/>
      <c r="F72" s="214"/>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c r="CG72" s="214"/>
      <c r="CH72" s="214"/>
      <c r="CI72" s="214"/>
      <c r="CJ72" s="214"/>
      <c r="CK72" s="214"/>
      <c r="CL72" s="214"/>
      <c r="CM72" s="214"/>
      <c r="CN72" s="214"/>
      <c r="CO72" s="214"/>
      <c r="CP72" s="214"/>
      <c r="CQ72" s="214"/>
      <c r="CR72" s="214"/>
      <c r="CS72" s="214"/>
      <c r="CT72" s="214"/>
      <c r="CU72" s="214"/>
      <c r="CV72" s="214"/>
      <c r="CW72" s="214"/>
      <c r="CX72" s="214"/>
      <c r="CY72" s="214"/>
      <c r="CZ72" s="214"/>
      <c r="DA72" s="214"/>
      <c r="DB72" s="214"/>
      <c r="DC72" s="214"/>
      <c r="DD72" s="214"/>
      <c r="DE72" s="214"/>
      <c r="DF72" s="214"/>
      <c r="DG72" s="214"/>
      <c r="DH72" s="214"/>
      <c r="DI72" s="214"/>
      <c r="DJ72" s="214"/>
      <c r="DK72" s="214"/>
      <c r="DL72" s="214"/>
      <c r="DM72" s="214"/>
      <c r="DN72" s="214"/>
      <c r="DO72" s="214"/>
      <c r="DP72" s="214"/>
      <c r="DQ72" s="214"/>
      <c r="DR72" s="214"/>
      <c r="DS72" s="214"/>
      <c r="DT72" s="214"/>
      <c r="DU72" s="214"/>
      <c r="DV72" s="214"/>
      <c r="DW72" s="214"/>
      <c r="DX72" s="214"/>
      <c r="DY72" s="214"/>
      <c r="DZ72" s="214"/>
      <c r="EA72" s="214"/>
      <c r="EB72" s="214"/>
      <c r="EC72" s="214"/>
      <c r="ED72" s="214"/>
      <c r="EE72" s="214"/>
      <c r="EF72" s="214"/>
      <c r="EG72" s="214"/>
      <c r="EH72" s="214"/>
      <c r="EI72" s="214"/>
      <c r="EJ72" s="214"/>
      <c r="EK72" s="214"/>
      <c r="EL72" s="214"/>
      <c r="EM72" s="214"/>
      <c r="EN72" s="214"/>
      <c r="EO72" s="214"/>
      <c r="EP72" s="214"/>
      <c r="EQ72" s="214"/>
      <c r="ER72" s="214"/>
      <c r="ES72" s="214"/>
      <c r="ET72" s="214"/>
      <c r="EU72" s="214"/>
      <c r="EV72" s="214"/>
      <c r="EW72" s="214"/>
      <c r="EX72" s="214"/>
      <c r="EY72" s="214"/>
      <c r="EZ72" s="214"/>
      <c r="FA72" s="214"/>
      <c r="FB72" s="214"/>
      <c r="FC72" s="214"/>
      <c r="FD72" s="214"/>
      <c r="FE72" s="214"/>
      <c r="FF72" s="214"/>
      <c r="FG72" s="214"/>
      <c r="FH72" s="214"/>
      <c r="FI72" s="214"/>
      <c r="FJ72" s="214"/>
      <c r="FK72" s="214"/>
      <c r="FL72" s="214"/>
      <c r="FM72" s="214"/>
      <c r="FN72" s="214"/>
      <c r="FO72" s="214"/>
      <c r="FP72" s="214"/>
      <c r="FQ72" s="214"/>
      <c r="FR72" s="214"/>
      <c r="FS72" s="214"/>
      <c r="FT72" s="214"/>
      <c r="FU72" s="214"/>
      <c r="FV72" s="214"/>
      <c r="FW72" s="214"/>
      <c r="FX72" s="214"/>
      <c r="FY72" s="214"/>
      <c r="FZ72" s="214"/>
      <c r="GA72" s="214"/>
      <c r="GB72" s="214"/>
      <c r="GC72" s="214"/>
      <c r="GD72" s="214"/>
      <c r="GE72" s="214"/>
      <c r="GF72" s="214"/>
      <c r="GG72" s="214"/>
      <c r="GH72" s="214"/>
      <c r="GI72" s="214"/>
      <c r="GJ72" s="214"/>
      <c r="GK72" s="214"/>
      <c r="GL72" s="214"/>
      <c r="GM72" s="214"/>
      <c r="GN72" s="214"/>
      <c r="GO72" s="214"/>
      <c r="GP72" s="214"/>
      <c r="GQ72" s="214"/>
      <c r="GR72" s="214"/>
      <c r="GS72" s="214"/>
      <c r="GT72" s="214"/>
      <c r="GU72" s="214"/>
      <c r="GV72" s="214"/>
      <c r="GW72" s="214"/>
      <c r="GX72" s="214"/>
      <c r="GY72" s="214"/>
      <c r="GZ72" s="214"/>
      <c r="HA72" s="214"/>
      <c r="HB72" s="214"/>
      <c r="HC72" s="214"/>
      <c r="HD72" s="214"/>
      <c r="HE72" s="214"/>
      <c r="HF72" s="214"/>
      <c r="HG72" s="214"/>
      <c r="HH72" s="214"/>
      <c r="HI72" s="214"/>
      <c r="HJ72" s="214"/>
      <c r="HK72" s="214"/>
      <c r="HL72" s="214"/>
      <c r="HM72" s="214"/>
      <c r="HN72" s="214"/>
      <c r="HO72" s="214"/>
      <c r="HP72" s="214"/>
      <c r="HQ72" s="214"/>
      <c r="HR72" s="214"/>
      <c r="HS72" s="214"/>
      <c r="HT72" s="214"/>
      <c r="HU72" s="214"/>
      <c r="HV72" s="214"/>
      <c r="HW72" s="214"/>
      <c r="HX72" s="214"/>
      <c r="HY72" s="214"/>
      <c r="HZ72" s="214"/>
      <c r="IA72" s="214"/>
      <c r="IB72" s="214"/>
      <c r="IC72" s="214"/>
      <c r="ID72" s="214"/>
      <c r="IE72" s="214"/>
      <c r="IF72" s="214"/>
      <c r="IG72" s="214"/>
      <c r="IH72" s="214"/>
      <c r="II72" s="214"/>
      <c r="IJ72" s="214"/>
      <c r="IK72" s="214"/>
      <c r="IL72" s="214"/>
      <c r="IM72" s="214"/>
      <c r="IN72" s="214"/>
      <c r="IO72" s="214"/>
      <c r="IP72" s="214"/>
      <c r="IQ72" s="214"/>
      <c r="IR72" s="214"/>
      <c r="IS72" s="214"/>
      <c r="IT72" s="214"/>
      <c r="IU72" s="214"/>
      <c r="IV72" s="214"/>
      <c r="IW72" s="214"/>
      <c r="IX72" s="214"/>
      <c r="IY72" s="214"/>
      <c r="IZ72" s="214"/>
      <c r="JA72" s="214"/>
      <c r="JB72" s="214"/>
      <c r="JC72" s="214"/>
      <c r="JD72" s="214"/>
      <c r="JE72" s="214"/>
      <c r="JF72" s="214"/>
      <c r="JG72" s="214"/>
      <c r="JH72" s="214"/>
      <c r="JI72" s="214"/>
    </row>
    <row r="73" spans="1:269">
      <c r="E73" s="214"/>
      <c r="F73" s="214"/>
      <c r="G73" s="214"/>
      <c r="H73" s="214"/>
      <c r="I73" s="214"/>
      <c r="J73" s="214"/>
      <c r="K73" s="214"/>
      <c r="L73" s="214"/>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4"/>
      <c r="CG73" s="214"/>
      <c r="CH73" s="214"/>
      <c r="CI73" s="214"/>
      <c r="CJ73" s="214"/>
      <c r="CK73" s="214"/>
      <c r="CL73" s="214"/>
      <c r="CM73" s="214"/>
      <c r="CN73" s="214"/>
      <c r="CO73" s="214"/>
      <c r="CP73" s="214"/>
      <c r="CQ73" s="214"/>
      <c r="CR73" s="214"/>
      <c r="CS73" s="214"/>
      <c r="CT73" s="214"/>
      <c r="CU73" s="214"/>
      <c r="CV73" s="214"/>
      <c r="CW73" s="214"/>
      <c r="CX73" s="214"/>
      <c r="CY73" s="214"/>
      <c r="CZ73" s="214"/>
      <c r="DA73" s="214"/>
      <c r="DB73" s="214"/>
      <c r="DC73" s="214"/>
      <c r="DD73" s="214"/>
      <c r="DE73" s="214"/>
      <c r="DF73" s="214"/>
      <c r="DG73" s="214"/>
      <c r="DH73" s="214"/>
      <c r="DI73" s="214"/>
      <c r="DJ73" s="214"/>
      <c r="DK73" s="214"/>
      <c r="DL73" s="214"/>
      <c r="DM73" s="214"/>
      <c r="DN73" s="214"/>
      <c r="DO73" s="214"/>
      <c r="DP73" s="214"/>
      <c r="DQ73" s="214"/>
      <c r="DR73" s="214"/>
      <c r="DS73" s="214"/>
      <c r="DT73" s="214"/>
      <c r="DU73" s="214"/>
      <c r="DV73" s="214"/>
      <c r="DW73" s="214"/>
      <c r="DX73" s="214"/>
      <c r="DY73" s="214"/>
      <c r="DZ73" s="214"/>
      <c r="EA73" s="214"/>
      <c r="EB73" s="214"/>
      <c r="EC73" s="214"/>
      <c r="ED73" s="214"/>
      <c r="EE73" s="214"/>
      <c r="EF73" s="214"/>
      <c r="EG73" s="214"/>
      <c r="EH73" s="214"/>
      <c r="EI73" s="214"/>
      <c r="EJ73" s="214"/>
      <c r="EK73" s="214"/>
      <c r="EL73" s="214"/>
      <c r="EM73" s="214"/>
      <c r="EN73" s="214"/>
      <c r="EO73" s="214"/>
      <c r="EP73" s="214"/>
      <c r="EQ73" s="214"/>
      <c r="ER73" s="214"/>
      <c r="ES73" s="214"/>
      <c r="ET73" s="214"/>
      <c r="EU73" s="214"/>
      <c r="EV73" s="214"/>
      <c r="EW73" s="214"/>
      <c r="EX73" s="214"/>
      <c r="EY73" s="214"/>
      <c r="EZ73" s="214"/>
      <c r="FA73" s="214"/>
      <c r="FB73" s="214"/>
      <c r="FC73" s="214"/>
      <c r="FD73" s="214"/>
      <c r="FE73" s="214"/>
      <c r="FF73" s="214"/>
      <c r="FG73" s="214"/>
      <c r="FH73" s="214"/>
      <c r="FI73" s="214"/>
      <c r="FJ73" s="214"/>
      <c r="FK73" s="214"/>
      <c r="FL73" s="214"/>
      <c r="FM73" s="214"/>
      <c r="FN73" s="214"/>
      <c r="FO73" s="214"/>
      <c r="FP73" s="214"/>
      <c r="FQ73" s="214"/>
      <c r="FR73" s="214"/>
      <c r="FS73" s="214"/>
      <c r="FT73" s="214"/>
      <c r="FU73" s="214"/>
      <c r="FV73" s="214"/>
      <c r="FW73" s="214"/>
      <c r="FX73" s="214"/>
      <c r="FY73" s="214"/>
      <c r="FZ73" s="214"/>
      <c r="GA73" s="214"/>
      <c r="GB73" s="214"/>
      <c r="GC73" s="214"/>
      <c r="GD73" s="214"/>
      <c r="GE73" s="214"/>
      <c r="GF73" s="214"/>
      <c r="GG73" s="214"/>
      <c r="GH73" s="214"/>
      <c r="GI73" s="214"/>
      <c r="GJ73" s="214"/>
      <c r="GK73" s="214"/>
      <c r="GL73" s="214"/>
      <c r="GM73" s="214"/>
      <c r="GN73" s="214"/>
      <c r="GO73" s="214"/>
      <c r="GP73" s="214"/>
      <c r="GQ73" s="214"/>
      <c r="GR73" s="214"/>
      <c r="GS73" s="214"/>
      <c r="GT73" s="214"/>
      <c r="GU73" s="214"/>
      <c r="GV73" s="214"/>
      <c r="GW73" s="214"/>
      <c r="GX73" s="214"/>
      <c r="GY73" s="214"/>
      <c r="GZ73" s="214"/>
      <c r="HA73" s="214"/>
      <c r="HB73" s="214"/>
      <c r="HC73" s="214"/>
      <c r="HD73" s="214"/>
      <c r="HE73" s="214"/>
      <c r="HF73" s="214"/>
      <c r="HG73" s="214"/>
      <c r="HH73" s="214"/>
      <c r="HI73" s="214"/>
      <c r="HJ73" s="214"/>
      <c r="HK73" s="214"/>
      <c r="HL73" s="214"/>
      <c r="HM73" s="214"/>
      <c r="HN73" s="214"/>
      <c r="HO73" s="214"/>
      <c r="HP73" s="214"/>
      <c r="HQ73" s="214"/>
      <c r="HR73" s="214"/>
      <c r="HS73" s="214"/>
      <c r="HT73" s="214"/>
      <c r="HU73" s="214"/>
      <c r="HV73" s="214"/>
      <c r="HW73" s="214"/>
      <c r="HX73" s="214"/>
      <c r="HY73" s="214"/>
      <c r="HZ73" s="214"/>
      <c r="IA73" s="214"/>
      <c r="IB73" s="214"/>
      <c r="IC73" s="214"/>
      <c r="ID73" s="214"/>
      <c r="IE73" s="214"/>
      <c r="IF73" s="214"/>
      <c r="IG73" s="214"/>
      <c r="IH73" s="214"/>
      <c r="II73" s="214"/>
      <c r="IJ73" s="214"/>
      <c r="IK73" s="214"/>
      <c r="IL73" s="214"/>
      <c r="IM73" s="214"/>
      <c r="IN73" s="214"/>
      <c r="IO73" s="214"/>
      <c r="IP73" s="214"/>
      <c r="IQ73" s="214"/>
      <c r="IR73" s="214"/>
      <c r="IS73" s="214"/>
      <c r="IT73" s="214"/>
      <c r="IU73" s="214"/>
      <c r="IV73" s="214"/>
      <c r="IW73" s="214"/>
      <c r="IX73" s="214"/>
      <c r="IY73" s="214"/>
      <c r="IZ73" s="214"/>
      <c r="JA73" s="214"/>
      <c r="JB73" s="214"/>
      <c r="JC73" s="214"/>
      <c r="JD73" s="214"/>
      <c r="JE73" s="214"/>
      <c r="JF73" s="214"/>
      <c r="JG73" s="214"/>
      <c r="JH73" s="214"/>
      <c r="JI73" s="214"/>
    </row>
    <row r="74" spans="1:269">
      <c r="A74" s="214"/>
      <c r="B74" s="214"/>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c r="CG74" s="214"/>
      <c r="CH74" s="214"/>
      <c r="CI74" s="214"/>
      <c r="CJ74" s="214"/>
      <c r="CK74" s="214"/>
      <c r="CL74" s="214"/>
      <c r="CM74" s="214"/>
      <c r="CN74" s="214"/>
      <c r="CO74" s="214"/>
      <c r="CP74" s="214"/>
      <c r="CQ74" s="214"/>
      <c r="CR74" s="214"/>
      <c r="CS74" s="214"/>
      <c r="CT74" s="214"/>
      <c r="CU74" s="214"/>
      <c r="CV74" s="214"/>
      <c r="CW74" s="214"/>
      <c r="CX74" s="214"/>
      <c r="CY74" s="214"/>
      <c r="CZ74" s="214"/>
      <c r="DA74" s="214"/>
      <c r="DB74" s="214"/>
      <c r="DC74" s="214"/>
      <c r="DD74" s="214"/>
      <c r="DE74" s="214"/>
      <c r="DF74" s="214"/>
      <c r="DG74" s="214"/>
      <c r="DH74" s="214"/>
      <c r="DI74" s="214"/>
      <c r="DJ74" s="214"/>
      <c r="DK74" s="214"/>
      <c r="DL74" s="214"/>
      <c r="DM74" s="214"/>
      <c r="DN74" s="214"/>
      <c r="DO74" s="214"/>
      <c r="DP74" s="214"/>
      <c r="DQ74" s="214"/>
      <c r="DR74" s="214"/>
      <c r="DS74" s="214"/>
      <c r="DT74" s="214"/>
      <c r="DU74" s="214"/>
      <c r="DV74" s="214"/>
      <c r="DW74" s="214"/>
      <c r="DX74" s="214"/>
      <c r="DY74" s="214"/>
      <c r="DZ74" s="214"/>
      <c r="EA74" s="214"/>
      <c r="EB74" s="214"/>
      <c r="EC74" s="214"/>
      <c r="ED74" s="214"/>
      <c r="EE74" s="214"/>
      <c r="EF74" s="214"/>
      <c r="EG74" s="214"/>
      <c r="EH74" s="214"/>
      <c r="EI74" s="214"/>
      <c r="EJ74" s="214"/>
      <c r="EK74" s="214"/>
      <c r="EL74" s="214"/>
      <c r="EM74" s="214"/>
      <c r="EN74" s="214"/>
      <c r="EO74" s="214"/>
      <c r="EP74" s="214"/>
      <c r="EQ74" s="214"/>
      <c r="ER74" s="214"/>
      <c r="ES74" s="214"/>
      <c r="ET74" s="214"/>
      <c r="EU74" s="214"/>
      <c r="EV74" s="214"/>
      <c r="EW74" s="214"/>
      <c r="EX74" s="214"/>
      <c r="EY74" s="214"/>
      <c r="EZ74" s="214"/>
      <c r="FA74" s="214"/>
      <c r="FB74" s="214"/>
      <c r="FC74" s="214"/>
      <c r="FD74" s="214"/>
      <c r="FE74" s="214"/>
      <c r="FF74" s="214"/>
      <c r="FG74" s="214"/>
      <c r="FH74" s="214"/>
      <c r="FI74" s="214"/>
      <c r="FJ74" s="214"/>
      <c r="FK74" s="214"/>
      <c r="FL74" s="214"/>
      <c r="FM74" s="214"/>
      <c r="FN74" s="214"/>
      <c r="FO74" s="214"/>
      <c r="FP74" s="214"/>
      <c r="FQ74" s="214"/>
      <c r="FR74" s="214"/>
      <c r="FS74" s="214"/>
      <c r="FT74" s="214"/>
      <c r="FU74" s="214"/>
      <c r="FV74" s="214"/>
      <c r="FW74" s="214"/>
      <c r="FX74" s="214"/>
      <c r="FY74" s="214"/>
      <c r="FZ74" s="214"/>
      <c r="GA74" s="214"/>
      <c r="GB74" s="214"/>
      <c r="GC74" s="214"/>
      <c r="GD74" s="214"/>
      <c r="GE74" s="214"/>
      <c r="GF74" s="214"/>
      <c r="GG74" s="214"/>
      <c r="GH74" s="214"/>
      <c r="GI74" s="214"/>
      <c r="GJ74" s="214"/>
      <c r="GK74" s="214"/>
      <c r="GL74" s="214"/>
      <c r="GM74" s="214"/>
      <c r="GN74" s="214"/>
      <c r="GO74" s="214"/>
      <c r="GP74" s="214"/>
      <c r="GQ74" s="214"/>
      <c r="GR74" s="214"/>
      <c r="GS74" s="214"/>
      <c r="GT74" s="214"/>
      <c r="GU74" s="214"/>
      <c r="GV74" s="214"/>
      <c r="GW74" s="214"/>
      <c r="GX74" s="214"/>
      <c r="GY74" s="214"/>
      <c r="GZ74" s="214"/>
      <c r="HA74" s="214"/>
      <c r="HB74" s="214"/>
      <c r="HC74" s="214"/>
      <c r="HD74" s="214"/>
      <c r="HE74" s="214"/>
      <c r="HF74" s="214"/>
      <c r="HG74" s="214"/>
      <c r="HH74" s="214"/>
      <c r="HI74" s="214"/>
      <c r="HJ74" s="214"/>
      <c r="HK74" s="214"/>
      <c r="HL74" s="214"/>
      <c r="HM74" s="214"/>
      <c r="HN74" s="214"/>
      <c r="HO74" s="214"/>
      <c r="HP74" s="214"/>
      <c r="HQ74" s="214"/>
      <c r="HR74" s="214"/>
      <c r="HS74" s="214"/>
      <c r="HT74" s="214"/>
      <c r="HU74" s="214"/>
      <c r="HV74" s="214"/>
      <c r="HW74" s="214"/>
      <c r="HX74" s="214"/>
      <c r="HY74" s="214"/>
      <c r="HZ74" s="214"/>
      <c r="IA74" s="214"/>
      <c r="IB74" s="214"/>
      <c r="IC74" s="214"/>
      <c r="ID74" s="214"/>
      <c r="IE74" s="214"/>
      <c r="IF74" s="214"/>
      <c r="IG74" s="214"/>
      <c r="IH74" s="214"/>
      <c r="II74" s="214"/>
      <c r="IJ74" s="214"/>
      <c r="IK74" s="214"/>
      <c r="IL74" s="214"/>
      <c r="IM74" s="214"/>
      <c r="IN74" s="214"/>
      <c r="IO74" s="214"/>
      <c r="IP74" s="214"/>
      <c r="IQ74" s="214"/>
      <c r="IR74" s="214"/>
      <c r="IS74" s="214"/>
      <c r="IT74" s="214"/>
      <c r="IU74" s="214"/>
      <c r="IV74" s="214"/>
      <c r="IW74" s="214"/>
      <c r="IX74" s="214"/>
      <c r="IY74" s="214"/>
      <c r="IZ74" s="214"/>
      <c r="JA74" s="214"/>
      <c r="JB74" s="214"/>
      <c r="JC74" s="214"/>
      <c r="JD74" s="214"/>
      <c r="JE74" s="214"/>
      <c r="JF74" s="214"/>
      <c r="JG74" s="214"/>
      <c r="JH74" s="214"/>
      <c r="JI74" s="214"/>
    </row>
    <row r="75" spans="1:269">
      <c r="A75" s="214"/>
      <c r="B75" s="214"/>
      <c r="C75" s="214"/>
      <c r="D75" s="214"/>
      <c r="E75" s="214"/>
      <c r="F75" s="214"/>
      <c r="G75" s="214"/>
      <c r="H75" s="214"/>
      <c r="I75" s="214"/>
      <c r="J75" s="214"/>
      <c r="K75" s="214"/>
      <c r="L75" s="214"/>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c r="CG75" s="214"/>
      <c r="CH75" s="214"/>
      <c r="CI75" s="214"/>
      <c r="CJ75" s="214"/>
      <c r="CK75" s="214"/>
      <c r="CL75" s="214"/>
      <c r="CM75" s="214"/>
      <c r="CN75" s="214"/>
      <c r="CO75" s="214"/>
      <c r="CP75" s="214"/>
      <c r="CQ75" s="214"/>
      <c r="CR75" s="214"/>
      <c r="CS75" s="214"/>
      <c r="CT75" s="214"/>
      <c r="CU75" s="214"/>
      <c r="CV75" s="214"/>
      <c r="CW75" s="214"/>
      <c r="CX75" s="214"/>
      <c r="CY75" s="214"/>
      <c r="CZ75" s="214"/>
      <c r="DA75" s="214"/>
      <c r="DB75" s="214"/>
      <c r="DC75" s="214"/>
      <c r="DD75" s="214"/>
      <c r="DE75" s="214"/>
      <c r="DF75" s="214"/>
      <c r="DG75" s="214"/>
      <c r="DH75" s="214"/>
      <c r="DI75" s="214"/>
      <c r="DJ75" s="214"/>
      <c r="DK75" s="214"/>
      <c r="DL75" s="214"/>
      <c r="DM75" s="214"/>
      <c r="DN75" s="214"/>
      <c r="DO75" s="214"/>
      <c r="DP75" s="214"/>
      <c r="DQ75" s="214"/>
      <c r="DR75" s="214"/>
      <c r="DS75" s="214"/>
      <c r="DT75" s="214"/>
      <c r="DU75" s="214"/>
      <c r="DV75" s="214"/>
      <c r="DW75" s="214"/>
      <c r="DX75" s="214"/>
      <c r="DY75" s="214"/>
      <c r="DZ75" s="214"/>
      <c r="EA75" s="214"/>
      <c r="EB75" s="214"/>
      <c r="EC75" s="214"/>
      <c r="ED75" s="214"/>
      <c r="EE75" s="214"/>
      <c r="EF75" s="214"/>
      <c r="EG75" s="214"/>
      <c r="EH75" s="214"/>
      <c r="EI75" s="214"/>
      <c r="EJ75" s="214"/>
      <c r="EK75" s="214"/>
      <c r="EL75" s="214"/>
      <c r="EM75" s="214"/>
      <c r="EN75" s="214"/>
      <c r="EO75" s="214"/>
      <c r="EP75" s="214"/>
      <c r="EQ75" s="214"/>
      <c r="ER75" s="214"/>
      <c r="ES75" s="214"/>
      <c r="ET75" s="214"/>
      <c r="EU75" s="214"/>
      <c r="EV75" s="214"/>
      <c r="EW75" s="214"/>
      <c r="EX75" s="214"/>
      <c r="EY75" s="214"/>
      <c r="EZ75" s="214"/>
      <c r="FA75" s="214"/>
      <c r="FB75" s="214"/>
      <c r="FC75" s="214"/>
      <c r="FD75" s="214"/>
      <c r="FE75" s="214"/>
      <c r="FF75" s="214"/>
      <c r="FG75" s="214"/>
      <c r="FH75" s="214"/>
      <c r="FI75" s="214"/>
      <c r="FJ75" s="214"/>
      <c r="FK75" s="214"/>
      <c r="FL75" s="214"/>
      <c r="FM75" s="214"/>
      <c r="FN75" s="214"/>
      <c r="FO75" s="214"/>
      <c r="FP75" s="214"/>
      <c r="FQ75" s="214"/>
      <c r="FR75" s="214"/>
      <c r="FS75" s="214"/>
      <c r="FT75" s="214"/>
      <c r="FU75" s="214"/>
      <c r="FV75" s="214"/>
      <c r="FW75" s="214"/>
      <c r="FX75" s="214"/>
      <c r="FY75" s="214"/>
      <c r="FZ75" s="214"/>
      <c r="GA75" s="214"/>
      <c r="GB75" s="214"/>
      <c r="GC75" s="214"/>
      <c r="GD75" s="214"/>
      <c r="GE75" s="214"/>
      <c r="GF75" s="214"/>
      <c r="GG75" s="214"/>
      <c r="GH75" s="214"/>
      <c r="GI75" s="214"/>
      <c r="GJ75" s="214"/>
      <c r="GK75" s="214"/>
      <c r="GL75" s="214"/>
      <c r="GM75" s="214"/>
      <c r="GN75" s="214"/>
      <c r="GO75" s="214"/>
      <c r="GP75" s="214"/>
      <c r="GQ75" s="214"/>
      <c r="GR75" s="214"/>
      <c r="GS75" s="214"/>
      <c r="GT75" s="214"/>
      <c r="GU75" s="214"/>
      <c r="GV75" s="214"/>
      <c r="GW75" s="214"/>
      <c r="GX75" s="214"/>
      <c r="GY75" s="214"/>
      <c r="GZ75" s="214"/>
      <c r="HA75" s="214"/>
      <c r="HB75" s="214"/>
      <c r="HC75" s="214"/>
      <c r="HD75" s="214"/>
      <c r="HE75" s="214"/>
      <c r="HF75" s="214"/>
      <c r="HG75" s="214"/>
      <c r="HH75" s="214"/>
      <c r="HI75" s="214"/>
      <c r="HJ75" s="214"/>
      <c r="HK75" s="214"/>
      <c r="HL75" s="214"/>
      <c r="HM75" s="214"/>
      <c r="HN75" s="214"/>
      <c r="HO75" s="214"/>
      <c r="HP75" s="214"/>
      <c r="HQ75" s="214"/>
      <c r="HR75" s="214"/>
      <c r="HS75" s="214"/>
      <c r="HT75" s="214"/>
      <c r="HU75" s="214"/>
      <c r="HV75" s="214"/>
      <c r="HW75" s="214"/>
      <c r="HX75" s="214"/>
      <c r="HY75" s="214"/>
      <c r="HZ75" s="214"/>
      <c r="IA75" s="214"/>
      <c r="IB75" s="214"/>
      <c r="IC75" s="214"/>
      <c r="ID75" s="214"/>
      <c r="IE75" s="214"/>
      <c r="IF75" s="214"/>
      <c r="IG75" s="214"/>
      <c r="IH75" s="214"/>
      <c r="II75" s="214"/>
      <c r="IJ75" s="214"/>
      <c r="IK75" s="214"/>
      <c r="IL75" s="214"/>
      <c r="IM75" s="214"/>
      <c r="IN75" s="214"/>
      <c r="IO75" s="214"/>
      <c r="IP75" s="214"/>
      <c r="IQ75" s="214"/>
      <c r="IR75" s="214"/>
      <c r="IS75" s="214"/>
      <c r="IT75" s="214"/>
      <c r="IU75" s="214"/>
      <c r="IV75" s="214"/>
      <c r="IW75" s="214"/>
      <c r="IX75" s="214"/>
      <c r="IY75" s="214"/>
      <c r="IZ75" s="214"/>
      <c r="JA75" s="214"/>
      <c r="JB75" s="214"/>
      <c r="JC75" s="214"/>
      <c r="JD75" s="214"/>
      <c r="JE75" s="214"/>
      <c r="JF75" s="214"/>
      <c r="JG75" s="214"/>
      <c r="JH75" s="214"/>
      <c r="JI75" s="214"/>
    </row>
    <row r="76" spans="1:269">
      <c r="A76" s="214"/>
      <c r="B76" s="214"/>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c r="CG76" s="214"/>
      <c r="CH76" s="214"/>
      <c r="CI76" s="214"/>
      <c r="CJ76" s="214"/>
      <c r="CK76" s="214"/>
      <c r="CL76" s="214"/>
      <c r="CM76" s="214"/>
      <c r="CN76" s="214"/>
      <c r="CO76" s="214"/>
      <c r="CP76" s="214"/>
      <c r="CQ76" s="214"/>
      <c r="CR76" s="214"/>
      <c r="CS76" s="214"/>
      <c r="CT76" s="214"/>
      <c r="CU76" s="214"/>
      <c r="CV76" s="214"/>
      <c r="CW76" s="214"/>
      <c r="CX76" s="214"/>
      <c r="CY76" s="214"/>
      <c r="CZ76" s="214"/>
      <c r="DA76" s="214"/>
      <c r="DB76" s="214"/>
      <c r="DC76" s="214"/>
      <c r="DD76" s="214"/>
      <c r="DE76" s="214"/>
      <c r="DF76" s="214"/>
      <c r="DG76" s="214"/>
      <c r="DH76" s="214"/>
      <c r="DI76" s="214"/>
      <c r="DJ76" s="214"/>
      <c r="DK76" s="214"/>
      <c r="DL76" s="214"/>
      <c r="DM76" s="214"/>
      <c r="DN76" s="214"/>
      <c r="DO76" s="214"/>
      <c r="DP76" s="214"/>
      <c r="DQ76" s="214"/>
      <c r="DR76" s="214"/>
      <c r="DS76" s="214"/>
      <c r="DT76" s="214"/>
      <c r="DU76" s="214"/>
      <c r="DV76" s="214"/>
      <c r="DW76" s="214"/>
      <c r="DX76" s="214"/>
      <c r="DY76" s="214"/>
      <c r="DZ76" s="214"/>
      <c r="EA76" s="214"/>
      <c r="EB76" s="214"/>
      <c r="EC76" s="214"/>
      <c r="ED76" s="214"/>
      <c r="EE76" s="214"/>
      <c r="EF76" s="214"/>
      <c r="EG76" s="214"/>
      <c r="EH76" s="214"/>
      <c r="EI76" s="214"/>
      <c r="EJ76" s="214"/>
      <c r="EK76" s="214"/>
      <c r="EL76" s="214"/>
      <c r="EM76" s="214"/>
      <c r="EN76" s="214"/>
      <c r="EO76" s="214"/>
      <c r="EP76" s="214"/>
      <c r="EQ76" s="214"/>
      <c r="ER76" s="214"/>
      <c r="ES76" s="214"/>
      <c r="ET76" s="214"/>
      <c r="EU76" s="214"/>
      <c r="EV76" s="214"/>
      <c r="EW76" s="214"/>
      <c r="EX76" s="214"/>
      <c r="EY76" s="214"/>
      <c r="EZ76" s="214"/>
      <c r="FA76" s="214"/>
      <c r="FB76" s="214"/>
      <c r="FC76" s="214"/>
      <c r="FD76" s="214"/>
      <c r="FE76" s="214"/>
      <c r="FF76" s="214"/>
      <c r="FG76" s="214"/>
      <c r="FH76" s="214"/>
      <c r="FI76" s="214"/>
      <c r="FJ76" s="214"/>
      <c r="FK76" s="214"/>
      <c r="FL76" s="214"/>
      <c r="FM76" s="214"/>
      <c r="FN76" s="214"/>
      <c r="FO76" s="214"/>
      <c r="FP76" s="214"/>
      <c r="FQ76" s="214"/>
      <c r="FR76" s="214"/>
      <c r="FS76" s="214"/>
      <c r="FT76" s="214"/>
      <c r="FU76" s="214"/>
      <c r="FV76" s="214"/>
      <c r="FW76" s="214"/>
      <c r="FX76" s="214"/>
      <c r="FY76" s="214"/>
      <c r="FZ76" s="214"/>
      <c r="GA76" s="214"/>
      <c r="GB76" s="214"/>
      <c r="GC76" s="214"/>
      <c r="GD76" s="214"/>
      <c r="GE76" s="214"/>
      <c r="GF76" s="214"/>
      <c r="GG76" s="214"/>
      <c r="GH76" s="214"/>
      <c r="GI76" s="214"/>
      <c r="GJ76" s="214"/>
      <c r="GK76" s="214"/>
      <c r="GL76" s="214"/>
      <c r="GM76" s="214"/>
      <c r="GN76" s="214"/>
      <c r="GO76" s="214"/>
      <c r="GP76" s="214"/>
      <c r="GQ76" s="214"/>
      <c r="GR76" s="214"/>
      <c r="GS76" s="214"/>
      <c r="GT76" s="214"/>
      <c r="GU76" s="214"/>
      <c r="GV76" s="214"/>
      <c r="GW76" s="214"/>
      <c r="GX76" s="214"/>
      <c r="GY76" s="214"/>
      <c r="GZ76" s="214"/>
      <c r="HA76" s="214"/>
      <c r="HB76" s="214"/>
      <c r="HC76" s="214"/>
      <c r="HD76" s="214"/>
      <c r="HE76" s="214"/>
      <c r="HF76" s="214"/>
      <c r="HG76" s="214"/>
      <c r="HH76" s="214"/>
      <c r="HI76" s="214"/>
      <c r="HJ76" s="214"/>
      <c r="HK76" s="214"/>
      <c r="HL76" s="214"/>
      <c r="HM76" s="214"/>
      <c r="HN76" s="214"/>
      <c r="HO76" s="214"/>
      <c r="HP76" s="214"/>
      <c r="HQ76" s="214"/>
      <c r="HR76" s="214"/>
      <c r="HS76" s="214"/>
      <c r="HT76" s="214"/>
      <c r="HU76" s="214"/>
      <c r="HV76" s="214"/>
      <c r="HW76" s="214"/>
      <c r="HX76" s="214"/>
      <c r="HY76" s="214"/>
      <c r="HZ76" s="214"/>
      <c r="IA76" s="214"/>
      <c r="IB76" s="214"/>
      <c r="IC76" s="214"/>
      <c r="ID76" s="214"/>
      <c r="IE76" s="214"/>
      <c r="IF76" s="214"/>
      <c r="IG76" s="214"/>
      <c r="IH76" s="214"/>
      <c r="II76" s="214"/>
      <c r="IJ76" s="214"/>
      <c r="IK76" s="214"/>
      <c r="IL76" s="214"/>
      <c r="IM76" s="214"/>
      <c r="IN76" s="214"/>
      <c r="IO76" s="214"/>
      <c r="IP76" s="214"/>
      <c r="IQ76" s="214"/>
      <c r="IR76" s="214"/>
      <c r="IS76" s="214"/>
      <c r="IT76" s="214"/>
      <c r="IU76" s="214"/>
      <c r="IV76" s="214"/>
      <c r="IW76" s="214"/>
      <c r="IX76" s="214"/>
      <c r="IY76" s="214"/>
      <c r="IZ76" s="214"/>
      <c r="JA76" s="214"/>
      <c r="JB76" s="214"/>
      <c r="JC76" s="214"/>
      <c r="JD76" s="214"/>
      <c r="JE76" s="214"/>
      <c r="JF76" s="214"/>
      <c r="JG76" s="214"/>
      <c r="JH76" s="214"/>
      <c r="JI76" s="214"/>
    </row>
    <row r="77" spans="1:269">
      <c r="A77" s="214"/>
      <c r="B77" s="214"/>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4"/>
      <c r="CG77" s="214"/>
      <c r="CH77" s="214"/>
      <c r="CI77" s="214"/>
      <c r="CJ77" s="214"/>
      <c r="CK77" s="214"/>
      <c r="CL77" s="214"/>
      <c r="CM77" s="214"/>
      <c r="CN77" s="214"/>
      <c r="CO77" s="214"/>
      <c r="CP77" s="214"/>
      <c r="CQ77" s="214"/>
      <c r="CR77" s="214"/>
      <c r="CS77" s="214"/>
      <c r="CT77" s="214"/>
      <c r="CU77" s="214"/>
      <c r="CV77" s="214"/>
      <c r="CW77" s="214"/>
      <c r="CX77" s="214"/>
      <c r="CY77" s="214"/>
      <c r="CZ77" s="214"/>
      <c r="DA77" s="214"/>
      <c r="DB77" s="214"/>
      <c r="DC77" s="214"/>
      <c r="DD77" s="214"/>
      <c r="DE77" s="214"/>
      <c r="DF77" s="214"/>
      <c r="DG77" s="214"/>
      <c r="DH77" s="214"/>
      <c r="DI77" s="214"/>
      <c r="DJ77" s="214"/>
      <c r="DK77" s="214"/>
      <c r="DL77" s="214"/>
      <c r="DM77" s="214"/>
      <c r="DN77" s="214"/>
      <c r="DO77" s="214"/>
      <c r="DP77" s="214"/>
      <c r="DQ77" s="214"/>
      <c r="DR77" s="214"/>
      <c r="DS77" s="214"/>
      <c r="DT77" s="214"/>
      <c r="DU77" s="214"/>
      <c r="DV77" s="214"/>
      <c r="DW77" s="214"/>
      <c r="DX77" s="214"/>
      <c r="DY77" s="214"/>
      <c r="DZ77" s="214"/>
      <c r="EA77" s="214"/>
      <c r="EB77" s="214"/>
      <c r="EC77" s="214"/>
      <c r="ED77" s="214"/>
      <c r="EE77" s="214"/>
      <c r="EF77" s="214"/>
      <c r="EG77" s="214"/>
      <c r="EH77" s="214"/>
      <c r="EI77" s="214"/>
      <c r="EJ77" s="214"/>
      <c r="EK77" s="214"/>
      <c r="EL77" s="214"/>
      <c r="EM77" s="214"/>
      <c r="EN77" s="214"/>
      <c r="EO77" s="214"/>
      <c r="EP77" s="214"/>
      <c r="EQ77" s="214"/>
      <c r="ER77" s="214"/>
      <c r="ES77" s="214"/>
      <c r="ET77" s="214"/>
      <c r="EU77" s="214"/>
      <c r="EV77" s="214"/>
      <c r="EW77" s="214"/>
      <c r="EX77" s="214"/>
      <c r="EY77" s="214"/>
      <c r="EZ77" s="214"/>
      <c r="FA77" s="214"/>
      <c r="FB77" s="214"/>
      <c r="FC77" s="214"/>
      <c r="FD77" s="214"/>
      <c r="FE77" s="214"/>
      <c r="FF77" s="214"/>
      <c r="FG77" s="214"/>
      <c r="FH77" s="214"/>
      <c r="FI77" s="214"/>
      <c r="FJ77" s="214"/>
      <c r="FK77" s="214"/>
      <c r="FL77" s="214"/>
      <c r="FM77" s="214"/>
      <c r="FN77" s="214"/>
      <c r="FO77" s="214"/>
      <c r="FP77" s="214"/>
      <c r="FQ77" s="214"/>
      <c r="FR77" s="214"/>
      <c r="FS77" s="214"/>
      <c r="FT77" s="214"/>
      <c r="FU77" s="214"/>
      <c r="FV77" s="214"/>
      <c r="FW77" s="214"/>
      <c r="FX77" s="214"/>
      <c r="FY77" s="214"/>
      <c r="FZ77" s="214"/>
      <c r="GA77" s="214"/>
      <c r="GB77" s="214"/>
      <c r="GC77" s="214"/>
      <c r="GD77" s="214"/>
      <c r="GE77" s="214"/>
      <c r="GF77" s="214"/>
      <c r="GG77" s="214"/>
      <c r="GH77" s="214"/>
      <c r="GI77" s="214"/>
      <c r="GJ77" s="214"/>
      <c r="GK77" s="214"/>
      <c r="GL77" s="214"/>
      <c r="GM77" s="214"/>
      <c r="GN77" s="214"/>
      <c r="GO77" s="214"/>
      <c r="GP77" s="214"/>
      <c r="GQ77" s="214"/>
      <c r="GR77" s="214"/>
      <c r="GS77" s="214"/>
      <c r="GT77" s="214"/>
      <c r="GU77" s="214"/>
      <c r="GV77" s="214"/>
      <c r="GW77" s="214"/>
      <c r="GX77" s="214"/>
      <c r="GY77" s="214"/>
      <c r="GZ77" s="214"/>
      <c r="HA77" s="214"/>
      <c r="HB77" s="214"/>
      <c r="HC77" s="214"/>
      <c r="HD77" s="214"/>
      <c r="HE77" s="214"/>
      <c r="HF77" s="214"/>
      <c r="HG77" s="214"/>
      <c r="HH77" s="214"/>
      <c r="HI77" s="214"/>
      <c r="HJ77" s="214"/>
      <c r="HK77" s="214"/>
      <c r="HL77" s="214"/>
      <c r="HM77" s="214"/>
      <c r="HN77" s="214"/>
      <c r="HO77" s="214"/>
      <c r="HP77" s="214"/>
      <c r="HQ77" s="214"/>
      <c r="HR77" s="214"/>
      <c r="HS77" s="214"/>
      <c r="HT77" s="214"/>
      <c r="HU77" s="214"/>
      <c r="HV77" s="214"/>
      <c r="HW77" s="214"/>
      <c r="HX77" s="214"/>
      <c r="HY77" s="214"/>
      <c r="HZ77" s="214"/>
      <c r="IA77" s="214"/>
      <c r="IB77" s="214"/>
      <c r="IC77" s="214"/>
      <c r="ID77" s="214"/>
      <c r="IE77" s="214"/>
      <c r="IF77" s="214"/>
      <c r="IG77" s="214"/>
      <c r="IH77" s="214"/>
      <c r="II77" s="214"/>
      <c r="IJ77" s="214"/>
      <c r="IK77" s="214"/>
      <c r="IL77" s="214"/>
      <c r="IM77" s="214"/>
      <c r="IN77" s="214"/>
      <c r="IO77" s="214"/>
      <c r="IP77" s="214"/>
      <c r="IQ77" s="214"/>
      <c r="IR77" s="214"/>
      <c r="IS77" s="214"/>
      <c r="IT77" s="214"/>
      <c r="IU77" s="214"/>
      <c r="IV77" s="214"/>
      <c r="IW77" s="214"/>
      <c r="IX77" s="214"/>
      <c r="IY77" s="214"/>
      <c r="IZ77" s="214"/>
      <c r="JA77" s="214"/>
      <c r="JB77" s="214"/>
      <c r="JC77" s="214"/>
      <c r="JD77" s="214"/>
      <c r="JE77" s="214"/>
      <c r="JF77" s="214"/>
      <c r="JG77" s="214"/>
      <c r="JH77" s="214"/>
      <c r="JI77" s="214"/>
    </row>
    <row r="78" spans="1:269">
      <c r="A78" s="214"/>
      <c r="B78" s="214"/>
      <c r="C78" s="214"/>
      <c r="D78" s="214"/>
      <c r="E78" s="214"/>
      <c r="F78" s="214"/>
      <c r="G78" s="214"/>
      <c r="H78" s="214"/>
      <c r="I78" s="214"/>
      <c r="J78" s="214"/>
      <c r="K78" s="214"/>
      <c r="L78" s="214"/>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c r="CE78" s="214"/>
      <c r="CF78" s="214"/>
      <c r="CG78" s="214"/>
      <c r="CH78" s="214"/>
      <c r="CI78" s="214"/>
      <c r="CJ78" s="214"/>
      <c r="CK78" s="214"/>
      <c r="CL78" s="214"/>
      <c r="CM78" s="214"/>
      <c r="CN78" s="214"/>
      <c r="CO78" s="214"/>
      <c r="CP78" s="214"/>
      <c r="CQ78" s="214"/>
      <c r="CR78" s="214"/>
      <c r="CS78" s="214"/>
      <c r="CT78" s="214"/>
      <c r="CU78" s="214"/>
      <c r="CV78" s="214"/>
      <c r="CW78" s="214"/>
      <c r="CX78" s="214"/>
      <c r="CY78" s="214"/>
      <c r="CZ78" s="214"/>
      <c r="DA78" s="214"/>
      <c r="DB78" s="214"/>
      <c r="DC78" s="214"/>
      <c r="DD78" s="214"/>
      <c r="DE78" s="214"/>
      <c r="DF78" s="214"/>
      <c r="DG78" s="214"/>
      <c r="DH78" s="214"/>
      <c r="DI78" s="214"/>
      <c r="DJ78" s="214"/>
      <c r="DK78" s="214"/>
      <c r="DL78" s="214"/>
      <c r="DM78" s="214"/>
      <c r="DN78" s="214"/>
      <c r="DO78" s="214"/>
      <c r="DP78" s="214"/>
      <c r="DQ78" s="214"/>
      <c r="DR78" s="214"/>
      <c r="DS78" s="214"/>
      <c r="DT78" s="214"/>
      <c r="DU78" s="214"/>
      <c r="DV78" s="214"/>
      <c r="DW78" s="214"/>
      <c r="DX78" s="214"/>
      <c r="DY78" s="214"/>
      <c r="DZ78" s="214"/>
      <c r="EA78" s="214"/>
      <c r="EB78" s="214"/>
      <c r="EC78" s="214"/>
      <c r="ED78" s="214"/>
      <c r="EE78" s="214"/>
      <c r="EF78" s="214"/>
      <c r="EG78" s="214"/>
      <c r="EH78" s="214"/>
      <c r="EI78" s="214"/>
      <c r="EJ78" s="214"/>
      <c r="EK78" s="214"/>
      <c r="EL78" s="214"/>
      <c r="EM78" s="214"/>
      <c r="EN78" s="214"/>
      <c r="EO78" s="214"/>
      <c r="EP78" s="214"/>
      <c r="EQ78" s="214"/>
      <c r="ER78" s="214"/>
      <c r="ES78" s="214"/>
      <c r="ET78" s="214"/>
      <c r="EU78" s="214"/>
      <c r="EV78" s="214"/>
      <c r="EW78" s="214"/>
      <c r="EX78" s="214"/>
      <c r="EY78" s="214"/>
      <c r="EZ78" s="214"/>
      <c r="FA78" s="214"/>
      <c r="FB78" s="214"/>
      <c r="FC78" s="214"/>
      <c r="FD78" s="214"/>
      <c r="FE78" s="214"/>
      <c r="FF78" s="214"/>
      <c r="FG78" s="214"/>
      <c r="FH78" s="214"/>
      <c r="FI78" s="214"/>
      <c r="FJ78" s="214"/>
      <c r="FK78" s="214"/>
      <c r="FL78" s="214"/>
      <c r="FM78" s="214"/>
      <c r="FN78" s="214"/>
      <c r="FO78" s="214"/>
      <c r="FP78" s="214"/>
      <c r="FQ78" s="214"/>
      <c r="FR78" s="214"/>
      <c r="FS78" s="214"/>
      <c r="FT78" s="214"/>
      <c r="FU78" s="214"/>
      <c r="FV78" s="214"/>
      <c r="FW78" s="214"/>
      <c r="FX78" s="214"/>
      <c r="FY78" s="214"/>
      <c r="FZ78" s="214"/>
      <c r="GA78" s="214"/>
      <c r="GB78" s="214"/>
      <c r="GC78" s="214"/>
      <c r="GD78" s="214"/>
      <c r="GE78" s="214"/>
      <c r="GF78" s="214"/>
      <c r="GG78" s="214"/>
      <c r="GH78" s="214"/>
      <c r="GI78" s="214"/>
      <c r="GJ78" s="214"/>
      <c r="GK78" s="214"/>
      <c r="GL78" s="214"/>
      <c r="GM78" s="214"/>
      <c r="GN78" s="214"/>
      <c r="GO78" s="214"/>
      <c r="GP78" s="214"/>
      <c r="GQ78" s="214"/>
      <c r="GR78" s="214"/>
      <c r="GS78" s="214"/>
      <c r="GT78" s="214"/>
      <c r="GU78" s="214"/>
      <c r="GV78" s="214"/>
      <c r="GW78" s="214"/>
      <c r="GX78" s="214"/>
      <c r="GY78" s="214"/>
      <c r="GZ78" s="214"/>
      <c r="HA78" s="214"/>
      <c r="HB78" s="214"/>
      <c r="HC78" s="214"/>
      <c r="HD78" s="214"/>
      <c r="HE78" s="214"/>
      <c r="HF78" s="214"/>
      <c r="HG78" s="214"/>
      <c r="HH78" s="214"/>
      <c r="HI78" s="214"/>
      <c r="HJ78" s="214"/>
      <c r="HK78" s="214"/>
      <c r="HL78" s="214"/>
      <c r="HM78" s="214"/>
      <c r="HN78" s="214"/>
      <c r="HO78" s="214"/>
      <c r="HP78" s="214"/>
      <c r="HQ78" s="214"/>
      <c r="HR78" s="214"/>
      <c r="HS78" s="214"/>
      <c r="HT78" s="214"/>
      <c r="HU78" s="214"/>
      <c r="HV78" s="214"/>
      <c r="HW78" s="214"/>
      <c r="HX78" s="214"/>
      <c r="HY78" s="214"/>
      <c r="HZ78" s="214"/>
      <c r="IA78" s="214"/>
      <c r="IB78" s="214"/>
      <c r="IC78" s="214"/>
      <c r="ID78" s="214"/>
      <c r="IE78" s="214"/>
      <c r="IF78" s="214"/>
      <c r="IG78" s="214"/>
      <c r="IH78" s="214"/>
      <c r="II78" s="214"/>
      <c r="IJ78" s="214"/>
      <c r="IK78" s="214"/>
      <c r="IL78" s="214"/>
      <c r="IM78" s="214"/>
      <c r="IN78" s="214"/>
      <c r="IO78" s="214"/>
      <c r="IP78" s="214"/>
      <c r="IQ78" s="214"/>
      <c r="IR78" s="214"/>
      <c r="IS78" s="214"/>
      <c r="IT78" s="214"/>
      <c r="IU78" s="214"/>
      <c r="IV78" s="214"/>
      <c r="IW78" s="214"/>
      <c r="IX78" s="214"/>
      <c r="IY78" s="214"/>
      <c r="IZ78" s="214"/>
      <c r="JA78" s="214"/>
      <c r="JB78" s="214"/>
      <c r="JC78" s="214"/>
      <c r="JD78" s="214"/>
      <c r="JE78" s="214"/>
      <c r="JF78" s="214"/>
      <c r="JG78" s="214"/>
      <c r="JH78" s="214"/>
      <c r="JI78" s="214"/>
    </row>
    <row r="79" spans="1:269">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c r="CE79" s="214"/>
      <c r="CF79" s="214"/>
      <c r="CG79" s="214"/>
      <c r="CH79" s="214"/>
      <c r="CI79" s="214"/>
      <c r="CJ79" s="214"/>
      <c r="CK79" s="214"/>
      <c r="CL79" s="214"/>
      <c r="CM79" s="214"/>
      <c r="CN79" s="214"/>
      <c r="CO79" s="214"/>
      <c r="CP79" s="214"/>
      <c r="CQ79" s="214"/>
      <c r="CR79" s="214"/>
      <c r="CS79" s="214"/>
      <c r="CT79" s="214"/>
      <c r="CU79" s="214"/>
      <c r="CV79" s="214"/>
      <c r="CW79" s="214"/>
      <c r="CX79" s="214"/>
      <c r="CY79" s="214"/>
      <c r="CZ79" s="214"/>
      <c r="DA79" s="214"/>
      <c r="DB79" s="214"/>
      <c r="DC79" s="214"/>
      <c r="DD79" s="214"/>
      <c r="DE79" s="214"/>
      <c r="DF79" s="214"/>
      <c r="DG79" s="214"/>
      <c r="DH79" s="214"/>
      <c r="DI79" s="214"/>
      <c r="DJ79" s="214"/>
      <c r="DK79" s="214"/>
      <c r="DL79" s="214"/>
      <c r="DM79" s="214"/>
      <c r="DN79" s="214"/>
      <c r="DO79" s="214"/>
      <c r="DP79" s="214"/>
      <c r="DQ79" s="214"/>
      <c r="DR79" s="214"/>
      <c r="DS79" s="214"/>
      <c r="DT79" s="214"/>
      <c r="DU79" s="214"/>
      <c r="DV79" s="214"/>
      <c r="DW79" s="214"/>
      <c r="DX79" s="214"/>
      <c r="DY79" s="214"/>
      <c r="DZ79" s="214"/>
      <c r="EA79" s="214"/>
      <c r="EB79" s="214"/>
      <c r="EC79" s="214"/>
      <c r="ED79" s="214"/>
      <c r="EE79" s="214"/>
      <c r="EF79" s="214"/>
      <c r="EG79" s="214"/>
      <c r="EH79" s="214"/>
      <c r="EI79" s="214"/>
      <c r="EJ79" s="214"/>
      <c r="EK79" s="214"/>
      <c r="EL79" s="214"/>
      <c r="EM79" s="214"/>
      <c r="EN79" s="214"/>
      <c r="EO79" s="214"/>
      <c r="EP79" s="214"/>
      <c r="EQ79" s="214"/>
      <c r="ER79" s="214"/>
      <c r="ES79" s="214"/>
      <c r="ET79" s="214"/>
      <c r="EU79" s="214"/>
      <c r="EV79" s="214"/>
      <c r="EW79" s="214"/>
      <c r="EX79" s="214"/>
      <c r="EY79" s="214"/>
      <c r="EZ79" s="214"/>
      <c r="FA79" s="214"/>
      <c r="FB79" s="214"/>
      <c r="FC79" s="214"/>
      <c r="FD79" s="214"/>
      <c r="FE79" s="214"/>
      <c r="FF79" s="214"/>
      <c r="FG79" s="214"/>
      <c r="FH79" s="214"/>
      <c r="FI79" s="214"/>
      <c r="FJ79" s="214"/>
      <c r="FK79" s="214"/>
      <c r="FL79" s="214"/>
      <c r="FM79" s="214"/>
      <c r="FN79" s="214"/>
      <c r="FO79" s="214"/>
      <c r="FP79" s="214"/>
      <c r="FQ79" s="214"/>
      <c r="FR79" s="214"/>
      <c r="FS79" s="214"/>
      <c r="FT79" s="214"/>
      <c r="FU79" s="214"/>
      <c r="FV79" s="214"/>
      <c r="FW79" s="214"/>
      <c r="FX79" s="214"/>
      <c r="FY79" s="214"/>
      <c r="FZ79" s="214"/>
      <c r="GA79" s="214"/>
      <c r="GB79" s="214"/>
      <c r="GC79" s="214"/>
      <c r="GD79" s="214"/>
      <c r="GE79" s="214"/>
      <c r="GF79" s="214"/>
      <c r="GG79" s="214"/>
      <c r="GH79" s="214"/>
      <c r="GI79" s="214"/>
      <c r="GJ79" s="214"/>
      <c r="GK79" s="214"/>
      <c r="GL79" s="214"/>
      <c r="GM79" s="214"/>
      <c r="GN79" s="214"/>
      <c r="GO79" s="214"/>
      <c r="GP79" s="214"/>
      <c r="GQ79" s="214"/>
      <c r="GR79" s="214"/>
      <c r="GS79" s="214"/>
      <c r="GT79" s="214"/>
      <c r="GU79" s="214"/>
      <c r="GV79" s="214"/>
      <c r="GW79" s="214"/>
      <c r="GX79" s="214"/>
      <c r="GY79" s="214"/>
      <c r="GZ79" s="214"/>
      <c r="HA79" s="214"/>
      <c r="HB79" s="214"/>
      <c r="HC79" s="214"/>
      <c r="HD79" s="214"/>
      <c r="HE79" s="214"/>
      <c r="HF79" s="214"/>
      <c r="HG79" s="214"/>
      <c r="HH79" s="214"/>
      <c r="HI79" s="214"/>
      <c r="HJ79" s="214"/>
      <c r="HK79" s="214"/>
      <c r="HL79" s="214"/>
      <c r="HM79" s="214"/>
      <c r="HN79" s="214"/>
      <c r="HO79" s="214"/>
      <c r="HP79" s="214"/>
      <c r="HQ79" s="214"/>
      <c r="HR79" s="214"/>
      <c r="HS79" s="214"/>
      <c r="HT79" s="214"/>
      <c r="HU79" s="214"/>
      <c r="HV79" s="214"/>
      <c r="HW79" s="214"/>
      <c r="HX79" s="214"/>
      <c r="HY79" s="214"/>
      <c r="HZ79" s="214"/>
      <c r="IA79" s="214"/>
      <c r="IB79" s="214"/>
      <c r="IC79" s="214"/>
      <c r="ID79" s="214"/>
      <c r="IE79" s="214"/>
      <c r="IF79" s="214"/>
      <c r="IG79" s="214"/>
      <c r="IH79" s="214"/>
      <c r="II79" s="214"/>
      <c r="IJ79" s="214"/>
      <c r="IK79" s="214"/>
      <c r="IL79" s="214"/>
      <c r="IM79" s="214"/>
      <c r="IN79" s="214"/>
      <c r="IO79" s="214"/>
      <c r="IP79" s="214"/>
      <c r="IQ79" s="214"/>
      <c r="IR79" s="214"/>
      <c r="IS79" s="214"/>
      <c r="IT79" s="214"/>
      <c r="IU79" s="214"/>
      <c r="IV79" s="214"/>
      <c r="IW79" s="214"/>
      <c r="IX79" s="214"/>
      <c r="IY79" s="214"/>
      <c r="IZ79" s="214"/>
      <c r="JA79" s="214"/>
      <c r="JB79" s="214"/>
      <c r="JC79" s="214"/>
      <c r="JD79" s="214"/>
      <c r="JE79" s="214"/>
      <c r="JF79" s="214"/>
      <c r="JG79" s="214"/>
      <c r="JH79" s="214"/>
      <c r="JI79" s="214"/>
    </row>
    <row r="80" spans="1:269">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c r="CE80" s="214"/>
      <c r="CF80" s="214"/>
      <c r="CG80" s="214"/>
      <c r="CH80" s="214"/>
      <c r="CI80" s="214"/>
      <c r="CJ80" s="214"/>
      <c r="CK80" s="214"/>
      <c r="CL80" s="214"/>
      <c r="CM80" s="214"/>
      <c r="CN80" s="214"/>
      <c r="CO80" s="214"/>
      <c r="CP80" s="214"/>
      <c r="CQ80" s="214"/>
      <c r="CR80" s="214"/>
      <c r="CS80" s="214"/>
      <c r="CT80" s="214"/>
      <c r="CU80" s="214"/>
      <c r="CV80" s="214"/>
      <c r="CW80" s="214"/>
      <c r="CX80" s="214"/>
      <c r="CY80" s="214"/>
      <c r="CZ80" s="214"/>
      <c r="DA80" s="214"/>
      <c r="DB80" s="214"/>
      <c r="DC80" s="214"/>
      <c r="DD80" s="214"/>
      <c r="DE80" s="214"/>
      <c r="DF80" s="214"/>
      <c r="DG80" s="214"/>
      <c r="DH80" s="214"/>
      <c r="DI80" s="214"/>
      <c r="DJ80" s="214"/>
      <c r="DK80" s="214"/>
      <c r="DL80" s="214"/>
      <c r="DM80" s="214"/>
      <c r="DN80" s="214"/>
      <c r="DO80" s="214"/>
      <c r="DP80" s="214"/>
      <c r="DQ80" s="214"/>
      <c r="DR80" s="214"/>
      <c r="DS80" s="214"/>
      <c r="DT80" s="214"/>
      <c r="DU80" s="214"/>
      <c r="DV80" s="214"/>
      <c r="DW80" s="214"/>
      <c r="DX80" s="214"/>
      <c r="DY80" s="214"/>
      <c r="DZ80" s="214"/>
      <c r="EA80" s="214"/>
      <c r="EB80" s="214"/>
      <c r="EC80" s="214"/>
      <c r="ED80" s="214"/>
      <c r="EE80" s="214"/>
      <c r="EF80" s="214"/>
      <c r="EG80" s="214"/>
      <c r="EH80" s="214"/>
      <c r="EI80" s="214"/>
      <c r="EJ80" s="214"/>
      <c r="EK80" s="214"/>
      <c r="EL80" s="214"/>
      <c r="EM80" s="214"/>
      <c r="EN80" s="214"/>
      <c r="EO80" s="214"/>
      <c r="EP80" s="214"/>
      <c r="EQ80" s="214"/>
      <c r="ER80" s="214"/>
      <c r="ES80" s="214"/>
      <c r="ET80" s="214"/>
      <c r="EU80" s="214"/>
      <c r="EV80" s="214"/>
      <c r="EW80" s="214"/>
      <c r="EX80" s="214"/>
      <c r="EY80" s="214"/>
      <c r="EZ80" s="214"/>
      <c r="FA80" s="214"/>
      <c r="FB80" s="214"/>
      <c r="FC80" s="214"/>
      <c r="FD80" s="214"/>
      <c r="FE80" s="214"/>
      <c r="FF80" s="214"/>
      <c r="FG80" s="214"/>
      <c r="FH80" s="214"/>
      <c r="FI80" s="214"/>
      <c r="FJ80" s="214"/>
      <c r="FK80" s="214"/>
      <c r="FL80" s="214"/>
      <c r="FM80" s="214"/>
      <c r="FN80" s="214"/>
      <c r="FO80" s="214"/>
      <c r="FP80" s="214"/>
      <c r="FQ80" s="214"/>
      <c r="FR80" s="214"/>
      <c r="FS80" s="214"/>
      <c r="FT80" s="214"/>
      <c r="FU80" s="214"/>
      <c r="FV80" s="214"/>
      <c r="FW80" s="214"/>
      <c r="FX80" s="214"/>
      <c r="FY80" s="214"/>
      <c r="FZ80" s="214"/>
      <c r="GA80" s="214"/>
      <c r="GB80" s="214"/>
      <c r="GC80" s="214"/>
      <c r="GD80" s="214"/>
      <c r="GE80" s="214"/>
      <c r="GF80" s="214"/>
      <c r="GG80" s="214"/>
      <c r="GH80" s="214"/>
      <c r="GI80" s="214"/>
      <c r="GJ80" s="214"/>
      <c r="GK80" s="214"/>
      <c r="GL80" s="214"/>
      <c r="GM80" s="214"/>
      <c r="GN80" s="214"/>
      <c r="GO80" s="214"/>
      <c r="GP80" s="214"/>
      <c r="GQ80" s="214"/>
      <c r="GR80" s="214"/>
      <c r="GS80" s="214"/>
      <c r="GT80" s="214"/>
      <c r="GU80" s="214"/>
      <c r="GV80" s="214"/>
      <c r="GW80" s="214"/>
      <c r="GX80" s="214"/>
      <c r="GY80" s="214"/>
      <c r="GZ80" s="214"/>
      <c r="HA80" s="214"/>
      <c r="HB80" s="214"/>
      <c r="HC80" s="214"/>
      <c r="HD80" s="214"/>
      <c r="HE80" s="214"/>
      <c r="HF80" s="214"/>
      <c r="HG80" s="214"/>
      <c r="HH80" s="214"/>
      <c r="HI80" s="214"/>
      <c r="HJ80" s="214"/>
      <c r="HK80" s="214"/>
      <c r="HL80" s="214"/>
      <c r="HM80" s="214"/>
      <c r="HN80" s="214"/>
      <c r="HO80" s="214"/>
      <c r="HP80" s="214"/>
      <c r="HQ80" s="214"/>
      <c r="HR80" s="214"/>
      <c r="HS80" s="214"/>
      <c r="HT80" s="214"/>
      <c r="HU80" s="214"/>
      <c r="HV80" s="214"/>
      <c r="HW80" s="214"/>
      <c r="HX80" s="214"/>
      <c r="HY80" s="214"/>
      <c r="HZ80" s="214"/>
      <c r="IA80" s="214"/>
      <c r="IB80" s="214"/>
      <c r="IC80" s="214"/>
      <c r="ID80" s="214"/>
      <c r="IE80" s="214"/>
      <c r="IF80" s="214"/>
      <c r="IG80" s="214"/>
      <c r="IH80" s="214"/>
      <c r="II80" s="214"/>
      <c r="IJ80" s="214"/>
      <c r="IK80" s="214"/>
      <c r="IL80" s="214"/>
      <c r="IM80" s="214"/>
      <c r="IN80" s="214"/>
      <c r="IO80" s="214"/>
      <c r="IP80" s="214"/>
      <c r="IQ80" s="214"/>
      <c r="IR80" s="214"/>
      <c r="IS80" s="214"/>
      <c r="IT80" s="214"/>
      <c r="IU80" s="214"/>
      <c r="IV80" s="214"/>
      <c r="IW80" s="214"/>
      <c r="IX80" s="214"/>
      <c r="IY80" s="214"/>
      <c r="IZ80" s="214"/>
      <c r="JA80" s="214"/>
      <c r="JB80" s="214"/>
      <c r="JC80" s="214"/>
      <c r="JD80" s="214"/>
      <c r="JE80" s="214"/>
      <c r="JF80" s="214"/>
      <c r="JG80" s="214"/>
      <c r="JH80" s="214"/>
      <c r="JI80" s="214"/>
    </row>
    <row r="81" spans="1:269">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c r="CE81" s="214"/>
      <c r="CF81" s="214"/>
      <c r="CG81" s="214"/>
      <c r="CH81" s="214"/>
      <c r="CI81" s="214"/>
      <c r="CJ81" s="214"/>
      <c r="CK81" s="214"/>
      <c r="CL81" s="214"/>
      <c r="CM81" s="214"/>
      <c r="CN81" s="214"/>
      <c r="CO81" s="214"/>
      <c r="CP81" s="214"/>
      <c r="CQ81" s="214"/>
      <c r="CR81" s="214"/>
      <c r="CS81" s="214"/>
      <c r="CT81" s="214"/>
      <c r="CU81" s="214"/>
      <c r="CV81" s="214"/>
      <c r="CW81" s="214"/>
      <c r="CX81" s="214"/>
      <c r="CY81" s="214"/>
      <c r="CZ81" s="214"/>
      <c r="DA81" s="214"/>
      <c r="DB81" s="214"/>
      <c r="DC81" s="214"/>
      <c r="DD81" s="214"/>
      <c r="DE81" s="214"/>
      <c r="DF81" s="214"/>
      <c r="DG81" s="214"/>
      <c r="DH81" s="214"/>
      <c r="DI81" s="214"/>
      <c r="DJ81" s="214"/>
      <c r="DK81" s="214"/>
      <c r="DL81" s="214"/>
      <c r="DM81" s="214"/>
      <c r="DN81" s="214"/>
      <c r="DO81" s="214"/>
      <c r="DP81" s="214"/>
      <c r="DQ81" s="214"/>
      <c r="DR81" s="214"/>
      <c r="DS81" s="214"/>
      <c r="DT81" s="214"/>
      <c r="DU81" s="214"/>
      <c r="DV81" s="214"/>
      <c r="DW81" s="214"/>
      <c r="DX81" s="214"/>
      <c r="DY81" s="214"/>
      <c r="DZ81" s="214"/>
      <c r="EA81" s="214"/>
      <c r="EB81" s="214"/>
      <c r="EC81" s="214"/>
      <c r="ED81" s="214"/>
      <c r="EE81" s="214"/>
      <c r="EF81" s="214"/>
      <c r="EG81" s="214"/>
      <c r="EH81" s="214"/>
      <c r="EI81" s="214"/>
      <c r="EJ81" s="214"/>
      <c r="EK81" s="214"/>
      <c r="EL81" s="214"/>
      <c r="EM81" s="214"/>
      <c r="EN81" s="214"/>
      <c r="EO81" s="214"/>
      <c r="EP81" s="214"/>
      <c r="EQ81" s="214"/>
      <c r="ER81" s="214"/>
      <c r="ES81" s="214"/>
      <c r="ET81" s="214"/>
      <c r="EU81" s="214"/>
      <c r="EV81" s="214"/>
      <c r="EW81" s="214"/>
      <c r="EX81" s="214"/>
      <c r="EY81" s="214"/>
      <c r="EZ81" s="214"/>
      <c r="FA81" s="214"/>
      <c r="FB81" s="214"/>
      <c r="FC81" s="214"/>
      <c r="FD81" s="214"/>
      <c r="FE81" s="214"/>
      <c r="FF81" s="214"/>
      <c r="FG81" s="214"/>
      <c r="FH81" s="214"/>
      <c r="FI81" s="214"/>
      <c r="FJ81" s="214"/>
      <c r="FK81" s="214"/>
      <c r="FL81" s="214"/>
      <c r="FM81" s="214"/>
      <c r="FN81" s="214"/>
      <c r="FO81" s="214"/>
      <c r="FP81" s="214"/>
      <c r="FQ81" s="214"/>
      <c r="FR81" s="214"/>
      <c r="FS81" s="214"/>
      <c r="FT81" s="214"/>
      <c r="FU81" s="214"/>
      <c r="FV81" s="214"/>
      <c r="FW81" s="214"/>
      <c r="FX81" s="214"/>
      <c r="FY81" s="214"/>
      <c r="FZ81" s="214"/>
      <c r="GA81" s="214"/>
      <c r="GB81" s="214"/>
      <c r="GC81" s="214"/>
      <c r="GD81" s="214"/>
      <c r="GE81" s="214"/>
      <c r="GF81" s="214"/>
      <c r="GG81" s="214"/>
      <c r="GH81" s="214"/>
      <c r="GI81" s="214"/>
      <c r="GJ81" s="214"/>
      <c r="GK81" s="214"/>
      <c r="GL81" s="214"/>
      <c r="GM81" s="214"/>
      <c r="GN81" s="214"/>
      <c r="GO81" s="214"/>
      <c r="GP81" s="214"/>
      <c r="GQ81" s="214"/>
      <c r="GR81" s="214"/>
      <c r="GS81" s="214"/>
      <c r="GT81" s="214"/>
      <c r="GU81" s="214"/>
      <c r="GV81" s="214"/>
      <c r="GW81" s="214"/>
      <c r="GX81" s="214"/>
      <c r="GY81" s="214"/>
      <c r="GZ81" s="214"/>
      <c r="HA81" s="214"/>
      <c r="HB81" s="214"/>
      <c r="HC81" s="214"/>
      <c r="HD81" s="214"/>
      <c r="HE81" s="214"/>
      <c r="HF81" s="214"/>
      <c r="HG81" s="214"/>
      <c r="HH81" s="214"/>
      <c r="HI81" s="214"/>
      <c r="HJ81" s="214"/>
      <c r="HK81" s="214"/>
      <c r="HL81" s="214"/>
      <c r="HM81" s="214"/>
      <c r="HN81" s="214"/>
      <c r="HO81" s="214"/>
      <c r="HP81" s="214"/>
      <c r="HQ81" s="214"/>
      <c r="HR81" s="214"/>
      <c r="HS81" s="214"/>
      <c r="HT81" s="214"/>
      <c r="HU81" s="214"/>
      <c r="HV81" s="214"/>
      <c r="HW81" s="214"/>
      <c r="HX81" s="214"/>
      <c r="HY81" s="214"/>
      <c r="HZ81" s="214"/>
      <c r="IA81" s="214"/>
      <c r="IB81" s="214"/>
      <c r="IC81" s="214"/>
      <c r="ID81" s="214"/>
      <c r="IE81" s="214"/>
      <c r="IF81" s="214"/>
      <c r="IG81" s="214"/>
      <c r="IH81" s="214"/>
      <c r="II81" s="214"/>
      <c r="IJ81" s="214"/>
      <c r="IK81" s="214"/>
      <c r="IL81" s="214"/>
      <c r="IM81" s="214"/>
      <c r="IN81" s="214"/>
      <c r="IO81" s="214"/>
      <c r="IP81" s="214"/>
      <c r="IQ81" s="214"/>
      <c r="IR81" s="214"/>
      <c r="IS81" s="214"/>
      <c r="IT81" s="214"/>
      <c r="IU81" s="214"/>
      <c r="IV81" s="214"/>
      <c r="IW81" s="214"/>
      <c r="IX81" s="214"/>
      <c r="IY81" s="214"/>
      <c r="IZ81" s="214"/>
      <c r="JA81" s="214"/>
      <c r="JB81" s="214"/>
      <c r="JC81" s="214"/>
      <c r="JD81" s="214"/>
      <c r="JE81" s="214"/>
      <c r="JF81" s="214"/>
      <c r="JG81" s="214"/>
      <c r="JH81" s="214"/>
      <c r="JI81" s="214"/>
    </row>
    <row r="82" spans="1:269">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c r="CE82" s="214"/>
      <c r="CF82" s="214"/>
      <c r="CG82" s="214"/>
      <c r="CH82" s="214"/>
      <c r="CI82" s="214"/>
      <c r="CJ82" s="214"/>
      <c r="CK82" s="214"/>
      <c r="CL82" s="214"/>
      <c r="CM82" s="214"/>
      <c r="CN82" s="214"/>
      <c r="CO82" s="214"/>
      <c r="CP82" s="214"/>
      <c r="CQ82" s="214"/>
      <c r="CR82" s="214"/>
      <c r="CS82" s="214"/>
      <c r="CT82" s="214"/>
      <c r="CU82" s="214"/>
      <c r="CV82" s="214"/>
      <c r="CW82" s="214"/>
      <c r="CX82" s="214"/>
      <c r="CY82" s="214"/>
      <c r="CZ82" s="214"/>
      <c r="DA82" s="214"/>
      <c r="DB82" s="214"/>
      <c r="DC82" s="214"/>
      <c r="DD82" s="214"/>
      <c r="DE82" s="214"/>
      <c r="DF82" s="214"/>
      <c r="DG82" s="214"/>
      <c r="DH82" s="214"/>
      <c r="DI82" s="214"/>
      <c r="DJ82" s="214"/>
      <c r="DK82" s="214"/>
      <c r="DL82" s="214"/>
      <c r="DM82" s="214"/>
      <c r="DN82" s="214"/>
      <c r="DO82" s="214"/>
      <c r="DP82" s="214"/>
      <c r="DQ82" s="214"/>
      <c r="DR82" s="214"/>
      <c r="DS82" s="214"/>
      <c r="DT82" s="214"/>
      <c r="DU82" s="214"/>
      <c r="DV82" s="214"/>
      <c r="DW82" s="214"/>
      <c r="DX82" s="214"/>
      <c r="DY82" s="214"/>
      <c r="DZ82" s="214"/>
      <c r="EA82" s="214"/>
      <c r="EB82" s="214"/>
      <c r="EC82" s="214"/>
      <c r="ED82" s="214"/>
      <c r="EE82" s="214"/>
      <c r="EF82" s="214"/>
      <c r="EG82" s="214"/>
      <c r="EH82" s="214"/>
      <c r="EI82" s="214"/>
      <c r="EJ82" s="214"/>
      <c r="EK82" s="214"/>
      <c r="EL82" s="214"/>
      <c r="EM82" s="214"/>
      <c r="EN82" s="214"/>
      <c r="EO82" s="214"/>
      <c r="EP82" s="214"/>
      <c r="EQ82" s="214"/>
      <c r="ER82" s="214"/>
      <c r="ES82" s="214"/>
      <c r="ET82" s="214"/>
      <c r="EU82" s="214"/>
      <c r="EV82" s="214"/>
      <c r="EW82" s="214"/>
      <c r="EX82" s="214"/>
      <c r="EY82" s="214"/>
      <c r="EZ82" s="214"/>
      <c r="FA82" s="214"/>
      <c r="FB82" s="214"/>
      <c r="FC82" s="214"/>
      <c r="FD82" s="214"/>
      <c r="FE82" s="214"/>
      <c r="FF82" s="214"/>
      <c r="FG82" s="214"/>
      <c r="FH82" s="214"/>
      <c r="FI82" s="214"/>
      <c r="FJ82" s="214"/>
      <c r="FK82" s="214"/>
      <c r="FL82" s="214"/>
      <c r="FM82" s="214"/>
      <c r="FN82" s="214"/>
      <c r="FO82" s="214"/>
      <c r="FP82" s="214"/>
      <c r="FQ82" s="214"/>
      <c r="FR82" s="214"/>
      <c r="FS82" s="214"/>
      <c r="FT82" s="214"/>
      <c r="FU82" s="214"/>
      <c r="FV82" s="214"/>
      <c r="FW82" s="214"/>
      <c r="FX82" s="214"/>
      <c r="FY82" s="214"/>
      <c r="FZ82" s="214"/>
      <c r="GA82" s="214"/>
      <c r="GB82" s="214"/>
      <c r="GC82" s="214"/>
      <c r="GD82" s="214"/>
      <c r="GE82" s="214"/>
      <c r="GF82" s="214"/>
      <c r="GG82" s="214"/>
      <c r="GH82" s="214"/>
      <c r="GI82" s="214"/>
      <c r="GJ82" s="214"/>
      <c r="GK82" s="214"/>
      <c r="GL82" s="214"/>
      <c r="GM82" s="214"/>
      <c r="GN82" s="214"/>
      <c r="GO82" s="214"/>
      <c r="GP82" s="214"/>
      <c r="GQ82" s="214"/>
      <c r="GR82" s="214"/>
      <c r="GS82" s="214"/>
      <c r="GT82" s="214"/>
      <c r="GU82" s="214"/>
      <c r="GV82" s="214"/>
      <c r="GW82" s="214"/>
      <c r="GX82" s="214"/>
      <c r="GY82" s="214"/>
      <c r="GZ82" s="214"/>
      <c r="HA82" s="214"/>
      <c r="HB82" s="214"/>
      <c r="HC82" s="214"/>
      <c r="HD82" s="214"/>
      <c r="HE82" s="214"/>
      <c r="HF82" s="214"/>
      <c r="HG82" s="214"/>
      <c r="HH82" s="214"/>
      <c r="HI82" s="214"/>
      <c r="HJ82" s="214"/>
      <c r="HK82" s="214"/>
      <c r="HL82" s="214"/>
      <c r="HM82" s="214"/>
      <c r="HN82" s="214"/>
      <c r="HO82" s="214"/>
      <c r="HP82" s="214"/>
      <c r="HQ82" s="214"/>
      <c r="HR82" s="214"/>
      <c r="HS82" s="214"/>
      <c r="HT82" s="214"/>
      <c r="HU82" s="214"/>
      <c r="HV82" s="214"/>
      <c r="HW82" s="214"/>
      <c r="HX82" s="214"/>
      <c r="HY82" s="214"/>
      <c r="HZ82" s="214"/>
      <c r="IA82" s="214"/>
      <c r="IB82" s="214"/>
      <c r="IC82" s="214"/>
      <c r="ID82" s="214"/>
      <c r="IE82" s="214"/>
      <c r="IF82" s="214"/>
      <c r="IG82" s="214"/>
      <c r="IH82" s="214"/>
      <c r="II82" s="214"/>
      <c r="IJ82" s="214"/>
      <c r="IK82" s="214"/>
      <c r="IL82" s="214"/>
      <c r="IM82" s="214"/>
      <c r="IN82" s="214"/>
      <c r="IO82" s="214"/>
      <c r="IP82" s="214"/>
      <c r="IQ82" s="214"/>
      <c r="IR82" s="214"/>
      <c r="IS82" s="214"/>
      <c r="IT82" s="214"/>
      <c r="IU82" s="214"/>
      <c r="IV82" s="214"/>
      <c r="IW82" s="214"/>
      <c r="IX82" s="214"/>
      <c r="IY82" s="214"/>
      <c r="IZ82" s="214"/>
      <c r="JA82" s="214"/>
      <c r="JB82" s="214"/>
      <c r="JC82" s="214"/>
      <c r="JD82" s="214"/>
      <c r="JE82" s="214"/>
      <c r="JF82" s="214"/>
      <c r="JG82" s="214"/>
      <c r="JH82" s="214"/>
      <c r="JI82" s="214"/>
    </row>
    <row r="83" spans="1:269">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c r="CE83" s="214"/>
      <c r="CF83" s="214"/>
      <c r="CG83" s="214"/>
      <c r="CH83" s="214"/>
      <c r="CI83" s="214"/>
      <c r="CJ83" s="214"/>
      <c r="CK83" s="214"/>
      <c r="CL83" s="214"/>
      <c r="CM83" s="214"/>
      <c r="CN83" s="214"/>
      <c r="CO83" s="214"/>
      <c r="CP83" s="214"/>
      <c r="CQ83" s="214"/>
      <c r="CR83" s="214"/>
      <c r="CS83" s="214"/>
      <c r="CT83" s="214"/>
      <c r="CU83" s="214"/>
      <c r="CV83" s="214"/>
      <c r="CW83" s="214"/>
      <c r="CX83" s="214"/>
      <c r="CY83" s="214"/>
      <c r="CZ83" s="214"/>
      <c r="DA83" s="214"/>
      <c r="DB83" s="214"/>
      <c r="DC83" s="214"/>
      <c r="DD83" s="214"/>
      <c r="DE83" s="214"/>
      <c r="DF83" s="214"/>
      <c r="DG83" s="214"/>
      <c r="DH83" s="214"/>
      <c r="DI83" s="214"/>
      <c r="DJ83" s="214"/>
      <c r="DK83" s="214"/>
      <c r="DL83" s="214"/>
      <c r="DM83" s="214"/>
      <c r="DN83" s="214"/>
      <c r="DO83" s="214"/>
      <c r="DP83" s="214"/>
      <c r="DQ83" s="214"/>
      <c r="DR83" s="214"/>
      <c r="DS83" s="214"/>
      <c r="DT83" s="214"/>
      <c r="DU83" s="214"/>
      <c r="DV83" s="214"/>
      <c r="DW83" s="214"/>
      <c r="DX83" s="214"/>
      <c r="DY83" s="214"/>
      <c r="DZ83" s="214"/>
      <c r="EA83" s="214"/>
      <c r="EB83" s="214"/>
      <c r="EC83" s="214"/>
      <c r="ED83" s="214"/>
      <c r="EE83" s="214"/>
      <c r="EF83" s="214"/>
      <c r="EG83" s="214"/>
      <c r="EH83" s="214"/>
      <c r="EI83" s="214"/>
      <c r="EJ83" s="214"/>
      <c r="EK83" s="214"/>
      <c r="EL83" s="214"/>
      <c r="EM83" s="214"/>
      <c r="EN83" s="214"/>
      <c r="EO83" s="214"/>
      <c r="EP83" s="214"/>
      <c r="EQ83" s="214"/>
      <c r="ER83" s="214"/>
      <c r="ES83" s="214"/>
      <c r="ET83" s="214"/>
      <c r="EU83" s="214"/>
      <c r="EV83" s="214"/>
      <c r="EW83" s="214"/>
      <c r="EX83" s="214"/>
      <c r="EY83" s="214"/>
      <c r="EZ83" s="214"/>
      <c r="FA83" s="214"/>
      <c r="FB83" s="214"/>
      <c r="FC83" s="214"/>
      <c r="FD83" s="214"/>
      <c r="FE83" s="214"/>
      <c r="FF83" s="214"/>
      <c r="FG83" s="214"/>
      <c r="FH83" s="214"/>
      <c r="FI83" s="214"/>
      <c r="FJ83" s="214"/>
      <c r="FK83" s="214"/>
      <c r="FL83" s="214"/>
      <c r="FM83" s="214"/>
      <c r="FN83" s="214"/>
      <c r="FO83" s="214"/>
      <c r="FP83" s="214"/>
      <c r="FQ83" s="214"/>
      <c r="FR83" s="214"/>
      <c r="FS83" s="214"/>
      <c r="FT83" s="214"/>
      <c r="FU83" s="214"/>
      <c r="FV83" s="214"/>
      <c r="FW83" s="214"/>
      <c r="FX83" s="214"/>
      <c r="FY83" s="214"/>
      <c r="FZ83" s="214"/>
      <c r="GA83" s="214"/>
      <c r="GB83" s="214"/>
      <c r="GC83" s="214"/>
      <c r="GD83" s="214"/>
      <c r="GE83" s="214"/>
      <c r="GF83" s="214"/>
      <c r="GG83" s="214"/>
      <c r="GH83" s="214"/>
      <c r="GI83" s="214"/>
      <c r="GJ83" s="214"/>
      <c r="GK83" s="214"/>
      <c r="GL83" s="214"/>
      <c r="GM83" s="214"/>
      <c r="GN83" s="214"/>
      <c r="GO83" s="214"/>
      <c r="GP83" s="214"/>
      <c r="GQ83" s="214"/>
      <c r="GR83" s="214"/>
      <c r="GS83" s="214"/>
      <c r="GT83" s="214"/>
      <c r="GU83" s="214"/>
      <c r="GV83" s="214"/>
      <c r="GW83" s="214"/>
      <c r="GX83" s="214"/>
      <c r="GY83" s="214"/>
      <c r="GZ83" s="214"/>
      <c r="HA83" s="214"/>
      <c r="HB83" s="214"/>
      <c r="HC83" s="214"/>
      <c r="HD83" s="214"/>
      <c r="HE83" s="214"/>
      <c r="HF83" s="214"/>
      <c r="HG83" s="214"/>
      <c r="HH83" s="214"/>
      <c r="HI83" s="214"/>
      <c r="HJ83" s="214"/>
      <c r="HK83" s="214"/>
      <c r="HL83" s="214"/>
      <c r="HM83" s="214"/>
      <c r="HN83" s="214"/>
      <c r="HO83" s="214"/>
      <c r="HP83" s="214"/>
      <c r="HQ83" s="214"/>
      <c r="HR83" s="214"/>
      <c r="HS83" s="214"/>
      <c r="HT83" s="214"/>
      <c r="HU83" s="214"/>
      <c r="HV83" s="214"/>
      <c r="HW83" s="214"/>
      <c r="HX83" s="214"/>
      <c r="HY83" s="214"/>
      <c r="HZ83" s="214"/>
      <c r="IA83" s="214"/>
      <c r="IB83" s="214"/>
      <c r="IC83" s="214"/>
      <c r="ID83" s="214"/>
      <c r="IE83" s="214"/>
      <c r="IF83" s="214"/>
      <c r="IG83" s="214"/>
      <c r="IH83" s="214"/>
      <c r="II83" s="214"/>
      <c r="IJ83" s="214"/>
      <c r="IK83" s="214"/>
      <c r="IL83" s="214"/>
      <c r="IM83" s="214"/>
      <c r="IN83" s="214"/>
      <c r="IO83" s="214"/>
      <c r="IP83" s="214"/>
      <c r="IQ83" s="214"/>
      <c r="IR83" s="214"/>
      <c r="IS83" s="214"/>
      <c r="IT83" s="214"/>
      <c r="IU83" s="214"/>
      <c r="IV83" s="214"/>
      <c r="IW83" s="214"/>
      <c r="IX83" s="214"/>
      <c r="IY83" s="214"/>
      <c r="IZ83" s="214"/>
      <c r="JA83" s="214"/>
      <c r="JB83" s="214"/>
      <c r="JC83" s="214"/>
      <c r="JD83" s="214"/>
      <c r="JE83" s="214"/>
      <c r="JF83" s="214"/>
      <c r="JG83" s="214"/>
      <c r="JH83" s="214"/>
      <c r="JI83" s="214"/>
    </row>
    <row r="84" spans="1:269">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c r="CE84" s="214"/>
      <c r="CF84" s="214"/>
      <c r="CG84" s="214"/>
      <c r="CH84" s="214"/>
      <c r="CI84" s="214"/>
      <c r="CJ84" s="214"/>
      <c r="CK84" s="214"/>
      <c r="CL84" s="214"/>
      <c r="CM84" s="214"/>
      <c r="CN84" s="214"/>
      <c r="CO84" s="214"/>
      <c r="CP84" s="214"/>
      <c r="CQ84" s="214"/>
      <c r="CR84" s="214"/>
      <c r="CS84" s="214"/>
      <c r="CT84" s="214"/>
      <c r="CU84" s="214"/>
      <c r="CV84" s="214"/>
      <c r="CW84" s="214"/>
      <c r="CX84" s="214"/>
      <c r="CY84" s="214"/>
      <c r="CZ84" s="214"/>
      <c r="DA84" s="214"/>
      <c r="DB84" s="214"/>
      <c r="DC84" s="214"/>
      <c r="DD84" s="214"/>
      <c r="DE84" s="214"/>
      <c r="DF84" s="214"/>
      <c r="DG84" s="214"/>
      <c r="DH84" s="214"/>
      <c r="DI84" s="214"/>
      <c r="DJ84" s="214"/>
      <c r="DK84" s="214"/>
      <c r="DL84" s="214"/>
      <c r="DM84" s="214"/>
      <c r="DN84" s="214"/>
      <c r="DO84" s="214"/>
      <c r="DP84" s="214"/>
      <c r="DQ84" s="214"/>
      <c r="DR84" s="214"/>
      <c r="DS84" s="214"/>
      <c r="DT84" s="214"/>
      <c r="DU84" s="214"/>
      <c r="DV84" s="214"/>
      <c r="DW84" s="214"/>
      <c r="DX84" s="214"/>
      <c r="DY84" s="214"/>
      <c r="DZ84" s="214"/>
      <c r="EA84" s="214"/>
      <c r="EB84" s="214"/>
      <c r="EC84" s="214"/>
      <c r="ED84" s="214"/>
      <c r="EE84" s="214"/>
      <c r="EF84" s="214"/>
      <c r="EG84" s="214"/>
      <c r="EH84" s="214"/>
      <c r="EI84" s="214"/>
      <c r="EJ84" s="214"/>
      <c r="EK84" s="214"/>
      <c r="EL84" s="214"/>
      <c r="EM84" s="214"/>
      <c r="EN84" s="214"/>
      <c r="EO84" s="214"/>
      <c r="EP84" s="214"/>
      <c r="EQ84" s="214"/>
      <c r="ER84" s="214"/>
      <c r="ES84" s="214"/>
      <c r="ET84" s="214"/>
      <c r="EU84" s="214"/>
      <c r="EV84" s="214"/>
      <c r="EW84" s="214"/>
      <c r="EX84" s="214"/>
      <c r="EY84" s="214"/>
      <c r="EZ84" s="214"/>
      <c r="FA84" s="214"/>
      <c r="FB84" s="214"/>
      <c r="FC84" s="214"/>
      <c r="FD84" s="214"/>
      <c r="FE84" s="214"/>
      <c r="FF84" s="214"/>
      <c r="FG84" s="214"/>
      <c r="FH84" s="214"/>
      <c r="FI84" s="214"/>
      <c r="FJ84" s="214"/>
      <c r="FK84" s="214"/>
      <c r="FL84" s="214"/>
      <c r="FM84" s="214"/>
      <c r="FN84" s="214"/>
      <c r="FO84" s="214"/>
      <c r="FP84" s="214"/>
      <c r="FQ84" s="214"/>
      <c r="FR84" s="214"/>
      <c r="FS84" s="214"/>
      <c r="FT84" s="214"/>
      <c r="FU84" s="214"/>
      <c r="FV84" s="214"/>
      <c r="FW84" s="214"/>
      <c r="FX84" s="214"/>
      <c r="FY84" s="214"/>
      <c r="FZ84" s="214"/>
      <c r="GA84" s="214"/>
      <c r="GB84" s="214"/>
      <c r="GC84" s="214"/>
      <c r="GD84" s="214"/>
      <c r="GE84" s="214"/>
      <c r="GF84" s="214"/>
      <c r="GG84" s="214"/>
      <c r="GH84" s="214"/>
      <c r="GI84" s="214"/>
      <c r="GJ84" s="214"/>
      <c r="GK84" s="214"/>
      <c r="GL84" s="214"/>
      <c r="GM84" s="214"/>
      <c r="GN84" s="214"/>
      <c r="GO84" s="214"/>
      <c r="GP84" s="214"/>
      <c r="GQ84" s="214"/>
      <c r="GR84" s="214"/>
      <c r="GS84" s="214"/>
      <c r="GT84" s="214"/>
      <c r="GU84" s="214"/>
      <c r="GV84" s="214"/>
      <c r="GW84" s="214"/>
      <c r="GX84" s="214"/>
      <c r="GY84" s="214"/>
      <c r="GZ84" s="214"/>
      <c r="HA84" s="214"/>
      <c r="HB84" s="214"/>
      <c r="HC84" s="214"/>
      <c r="HD84" s="214"/>
      <c r="HE84" s="214"/>
      <c r="HF84" s="214"/>
      <c r="HG84" s="214"/>
      <c r="HH84" s="214"/>
      <c r="HI84" s="214"/>
      <c r="HJ84" s="214"/>
      <c r="HK84" s="214"/>
      <c r="HL84" s="214"/>
      <c r="HM84" s="214"/>
      <c r="HN84" s="214"/>
      <c r="HO84" s="214"/>
      <c r="HP84" s="214"/>
      <c r="HQ84" s="214"/>
      <c r="HR84" s="214"/>
      <c r="HS84" s="214"/>
      <c r="HT84" s="214"/>
      <c r="HU84" s="214"/>
      <c r="HV84" s="214"/>
      <c r="HW84" s="214"/>
      <c r="HX84" s="214"/>
      <c r="HY84" s="214"/>
      <c r="HZ84" s="214"/>
      <c r="IA84" s="214"/>
      <c r="IB84" s="214"/>
      <c r="IC84" s="214"/>
      <c r="ID84" s="214"/>
      <c r="IE84" s="214"/>
      <c r="IF84" s="214"/>
      <c r="IG84" s="214"/>
      <c r="IH84" s="214"/>
      <c r="II84" s="214"/>
      <c r="IJ84" s="214"/>
      <c r="IK84" s="214"/>
      <c r="IL84" s="214"/>
      <c r="IM84" s="214"/>
      <c r="IN84" s="214"/>
      <c r="IO84" s="214"/>
      <c r="IP84" s="214"/>
      <c r="IQ84" s="214"/>
      <c r="IR84" s="214"/>
      <c r="IS84" s="214"/>
      <c r="IT84" s="214"/>
      <c r="IU84" s="214"/>
      <c r="IV84" s="214"/>
      <c r="IW84" s="214"/>
      <c r="IX84" s="214"/>
      <c r="IY84" s="214"/>
      <c r="IZ84" s="214"/>
      <c r="JA84" s="214"/>
      <c r="JB84" s="214"/>
      <c r="JC84" s="214"/>
      <c r="JD84" s="214"/>
      <c r="JE84" s="214"/>
      <c r="JF84" s="214"/>
      <c r="JG84" s="214"/>
      <c r="JH84" s="214"/>
      <c r="JI84" s="214"/>
    </row>
    <row r="85" spans="1:269">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c r="CE85" s="214"/>
      <c r="CF85" s="214"/>
      <c r="CG85" s="214"/>
      <c r="CH85" s="214"/>
      <c r="CI85" s="214"/>
      <c r="CJ85" s="214"/>
      <c r="CK85" s="214"/>
      <c r="CL85" s="214"/>
      <c r="CM85" s="214"/>
      <c r="CN85" s="214"/>
      <c r="CO85" s="214"/>
      <c r="CP85" s="214"/>
      <c r="CQ85" s="214"/>
      <c r="CR85" s="214"/>
      <c r="CS85" s="214"/>
      <c r="CT85" s="214"/>
      <c r="CU85" s="214"/>
      <c r="CV85" s="214"/>
      <c r="CW85" s="214"/>
      <c r="CX85" s="214"/>
      <c r="CY85" s="214"/>
      <c r="CZ85" s="214"/>
      <c r="DA85" s="214"/>
      <c r="DB85" s="214"/>
      <c r="DC85" s="214"/>
      <c r="DD85" s="214"/>
      <c r="DE85" s="214"/>
      <c r="DF85" s="214"/>
      <c r="DG85" s="214"/>
      <c r="DH85" s="214"/>
      <c r="DI85" s="214"/>
      <c r="DJ85" s="214"/>
      <c r="DK85" s="214"/>
      <c r="DL85" s="214"/>
      <c r="DM85" s="214"/>
      <c r="DN85" s="214"/>
      <c r="DO85" s="214"/>
      <c r="DP85" s="214"/>
      <c r="DQ85" s="214"/>
      <c r="DR85" s="214"/>
      <c r="DS85" s="214"/>
      <c r="DT85" s="214"/>
      <c r="DU85" s="214"/>
      <c r="DV85" s="214"/>
      <c r="DW85" s="214"/>
      <c r="DX85" s="214"/>
      <c r="DY85" s="214"/>
      <c r="DZ85" s="214"/>
      <c r="EA85" s="214"/>
      <c r="EB85" s="214"/>
      <c r="EC85" s="214"/>
      <c r="ED85" s="214"/>
      <c r="EE85" s="214"/>
      <c r="EF85" s="214"/>
      <c r="EG85" s="214"/>
      <c r="EH85" s="214"/>
      <c r="EI85" s="214"/>
      <c r="EJ85" s="214"/>
      <c r="EK85" s="214"/>
      <c r="EL85" s="214"/>
      <c r="EM85" s="214"/>
      <c r="EN85" s="214"/>
      <c r="EO85" s="214"/>
      <c r="EP85" s="214"/>
      <c r="EQ85" s="214"/>
      <c r="ER85" s="214"/>
      <c r="ES85" s="214"/>
      <c r="ET85" s="214"/>
      <c r="EU85" s="214"/>
      <c r="EV85" s="214"/>
      <c r="EW85" s="214"/>
      <c r="EX85" s="214"/>
      <c r="EY85" s="214"/>
      <c r="EZ85" s="214"/>
      <c r="FA85" s="214"/>
      <c r="FB85" s="214"/>
      <c r="FC85" s="214"/>
      <c r="FD85" s="214"/>
      <c r="FE85" s="214"/>
      <c r="FF85" s="214"/>
      <c r="FG85" s="214"/>
      <c r="FH85" s="214"/>
      <c r="FI85" s="214"/>
      <c r="FJ85" s="214"/>
      <c r="FK85" s="214"/>
      <c r="FL85" s="214"/>
      <c r="FM85" s="214"/>
      <c r="FN85" s="214"/>
      <c r="FO85" s="214"/>
      <c r="FP85" s="214"/>
      <c r="FQ85" s="214"/>
      <c r="FR85" s="214"/>
      <c r="FS85" s="214"/>
      <c r="FT85" s="214"/>
      <c r="FU85" s="214"/>
      <c r="FV85" s="214"/>
      <c r="FW85" s="214"/>
      <c r="FX85" s="214"/>
      <c r="FY85" s="214"/>
      <c r="FZ85" s="214"/>
      <c r="GA85" s="214"/>
      <c r="GB85" s="214"/>
      <c r="GC85" s="214"/>
      <c r="GD85" s="214"/>
      <c r="GE85" s="214"/>
      <c r="GF85" s="214"/>
      <c r="GG85" s="214"/>
      <c r="GH85" s="214"/>
      <c r="GI85" s="214"/>
      <c r="GJ85" s="214"/>
      <c r="GK85" s="214"/>
      <c r="GL85" s="214"/>
      <c r="GM85" s="214"/>
      <c r="GN85" s="214"/>
      <c r="GO85" s="214"/>
      <c r="GP85" s="214"/>
      <c r="GQ85" s="214"/>
      <c r="GR85" s="214"/>
      <c r="GS85" s="214"/>
      <c r="GT85" s="214"/>
      <c r="GU85" s="214"/>
      <c r="GV85" s="214"/>
      <c r="GW85" s="214"/>
      <c r="GX85" s="214"/>
      <c r="GY85" s="214"/>
      <c r="GZ85" s="214"/>
      <c r="HA85" s="214"/>
      <c r="HB85" s="214"/>
      <c r="HC85" s="214"/>
      <c r="HD85" s="214"/>
      <c r="HE85" s="214"/>
      <c r="HF85" s="214"/>
      <c r="HG85" s="214"/>
      <c r="HH85" s="214"/>
      <c r="HI85" s="214"/>
      <c r="HJ85" s="214"/>
      <c r="HK85" s="214"/>
      <c r="HL85" s="214"/>
      <c r="HM85" s="214"/>
      <c r="HN85" s="214"/>
      <c r="HO85" s="214"/>
      <c r="HP85" s="214"/>
      <c r="HQ85" s="214"/>
      <c r="HR85" s="214"/>
      <c r="HS85" s="214"/>
      <c r="HT85" s="214"/>
      <c r="HU85" s="214"/>
      <c r="HV85" s="214"/>
      <c r="HW85" s="214"/>
      <c r="HX85" s="214"/>
      <c r="HY85" s="214"/>
      <c r="HZ85" s="214"/>
      <c r="IA85" s="214"/>
      <c r="IB85" s="214"/>
      <c r="IC85" s="214"/>
      <c r="ID85" s="214"/>
      <c r="IE85" s="214"/>
      <c r="IF85" s="214"/>
      <c r="IG85" s="214"/>
      <c r="IH85" s="214"/>
      <c r="II85" s="214"/>
      <c r="IJ85" s="214"/>
      <c r="IK85" s="214"/>
      <c r="IL85" s="214"/>
      <c r="IM85" s="214"/>
      <c r="IN85" s="214"/>
      <c r="IO85" s="214"/>
      <c r="IP85" s="214"/>
      <c r="IQ85" s="214"/>
      <c r="IR85" s="214"/>
      <c r="IS85" s="214"/>
      <c r="IT85" s="214"/>
      <c r="IU85" s="214"/>
      <c r="IV85" s="214"/>
      <c r="IW85" s="214"/>
      <c r="IX85" s="214"/>
      <c r="IY85" s="214"/>
      <c r="IZ85" s="214"/>
      <c r="JA85" s="214"/>
      <c r="JB85" s="214"/>
      <c r="JC85" s="214"/>
      <c r="JD85" s="214"/>
      <c r="JE85" s="214"/>
      <c r="JF85" s="214"/>
      <c r="JG85" s="214"/>
      <c r="JH85" s="214"/>
      <c r="JI85" s="214"/>
    </row>
    <row r="86" spans="1:269">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c r="CE86" s="214"/>
      <c r="CF86" s="214"/>
      <c r="CG86" s="214"/>
      <c r="CH86" s="214"/>
      <c r="CI86" s="214"/>
      <c r="CJ86" s="214"/>
      <c r="CK86" s="214"/>
      <c r="CL86" s="214"/>
      <c r="CM86" s="214"/>
      <c r="CN86" s="214"/>
      <c r="CO86" s="214"/>
      <c r="CP86" s="214"/>
      <c r="CQ86" s="214"/>
      <c r="CR86" s="214"/>
      <c r="CS86" s="214"/>
      <c r="CT86" s="214"/>
      <c r="CU86" s="214"/>
      <c r="CV86" s="214"/>
      <c r="CW86" s="214"/>
      <c r="CX86" s="214"/>
      <c r="CY86" s="214"/>
      <c r="CZ86" s="214"/>
      <c r="DA86" s="214"/>
      <c r="DB86" s="214"/>
      <c r="DC86" s="214"/>
      <c r="DD86" s="214"/>
      <c r="DE86" s="214"/>
      <c r="DF86" s="214"/>
      <c r="DG86" s="214"/>
      <c r="DH86" s="214"/>
      <c r="DI86" s="214"/>
      <c r="DJ86" s="214"/>
      <c r="DK86" s="214"/>
      <c r="DL86" s="214"/>
      <c r="DM86" s="214"/>
      <c r="DN86" s="214"/>
      <c r="DO86" s="214"/>
      <c r="DP86" s="214"/>
      <c r="DQ86" s="214"/>
      <c r="DR86" s="214"/>
      <c r="DS86" s="214"/>
      <c r="DT86" s="214"/>
      <c r="DU86" s="214"/>
      <c r="DV86" s="214"/>
      <c r="DW86" s="214"/>
      <c r="DX86" s="214"/>
      <c r="DY86" s="214"/>
      <c r="DZ86" s="214"/>
      <c r="EA86" s="214"/>
      <c r="EB86" s="214"/>
      <c r="EC86" s="214"/>
      <c r="ED86" s="214"/>
      <c r="EE86" s="214"/>
      <c r="EF86" s="214"/>
      <c r="EG86" s="214"/>
      <c r="EH86" s="214"/>
      <c r="EI86" s="214"/>
      <c r="EJ86" s="214"/>
      <c r="EK86" s="214"/>
      <c r="EL86" s="214"/>
      <c r="EM86" s="214"/>
      <c r="EN86" s="214"/>
      <c r="EO86" s="214"/>
      <c r="EP86" s="214"/>
      <c r="EQ86" s="214"/>
      <c r="ER86" s="214"/>
      <c r="ES86" s="214"/>
      <c r="ET86" s="214"/>
      <c r="EU86" s="214"/>
      <c r="EV86" s="214"/>
      <c r="EW86" s="214"/>
      <c r="EX86" s="214"/>
      <c r="EY86" s="214"/>
      <c r="EZ86" s="214"/>
      <c r="FA86" s="214"/>
      <c r="FB86" s="214"/>
      <c r="FC86" s="214"/>
      <c r="FD86" s="214"/>
      <c r="FE86" s="214"/>
      <c r="FF86" s="214"/>
      <c r="FG86" s="214"/>
      <c r="FH86" s="214"/>
      <c r="FI86" s="214"/>
      <c r="FJ86" s="214"/>
      <c r="FK86" s="214"/>
      <c r="FL86" s="214"/>
      <c r="FM86" s="214"/>
      <c r="FN86" s="214"/>
      <c r="FO86" s="214"/>
      <c r="FP86" s="214"/>
      <c r="FQ86" s="214"/>
      <c r="FR86" s="214"/>
      <c r="FS86" s="214"/>
      <c r="FT86" s="214"/>
      <c r="FU86" s="214"/>
      <c r="FV86" s="214"/>
      <c r="FW86" s="214"/>
      <c r="FX86" s="214"/>
      <c r="FY86" s="214"/>
      <c r="FZ86" s="214"/>
      <c r="GA86" s="214"/>
      <c r="GB86" s="214"/>
      <c r="GC86" s="214"/>
      <c r="GD86" s="214"/>
      <c r="GE86" s="214"/>
      <c r="GF86" s="214"/>
      <c r="GG86" s="214"/>
      <c r="GH86" s="214"/>
      <c r="GI86" s="214"/>
      <c r="GJ86" s="214"/>
      <c r="GK86" s="214"/>
      <c r="GL86" s="214"/>
      <c r="GM86" s="214"/>
      <c r="GN86" s="214"/>
      <c r="GO86" s="214"/>
      <c r="GP86" s="214"/>
      <c r="GQ86" s="214"/>
      <c r="GR86" s="214"/>
      <c r="GS86" s="214"/>
      <c r="GT86" s="214"/>
      <c r="GU86" s="214"/>
      <c r="GV86" s="214"/>
      <c r="GW86" s="214"/>
      <c r="GX86" s="214"/>
      <c r="GY86" s="214"/>
      <c r="GZ86" s="214"/>
      <c r="HA86" s="214"/>
      <c r="HB86" s="214"/>
      <c r="HC86" s="214"/>
      <c r="HD86" s="214"/>
      <c r="HE86" s="214"/>
      <c r="HF86" s="214"/>
      <c r="HG86" s="214"/>
      <c r="HH86" s="214"/>
      <c r="HI86" s="214"/>
      <c r="HJ86" s="214"/>
      <c r="HK86" s="214"/>
      <c r="HL86" s="214"/>
      <c r="HM86" s="214"/>
      <c r="HN86" s="214"/>
      <c r="HO86" s="214"/>
      <c r="HP86" s="214"/>
      <c r="HQ86" s="214"/>
      <c r="HR86" s="214"/>
      <c r="HS86" s="214"/>
      <c r="HT86" s="214"/>
      <c r="HU86" s="214"/>
      <c r="HV86" s="214"/>
      <c r="HW86" s="214"/>
      <c r="HX86" s="214"/>
      <c r="HY86" s="214"/>
      <c r="HZ86" s="214"/>
      <c r="IA86" s="214"/>
      <c r="IB86" s="214"/>
      <c r="IC86" s="214"/>
      <c r="ID86" s="214"/>
      <c r="IE86" s="214"/>
      <c r="IF86" s="214"/>
      <c r="IG86" s="214"/>
      <c r="IH86" s="214"/>
      <c r="II86" s="214"/>
      <c r="IJ86" s="214"/>
      <c r="IK86" s="214"/>
      <c r="IL86" s="214"/>
      <c r="IM86" s="214"/>
      <c r="IN86" s="214"/>
      <c r="IO86" s="214"/>
      <c r="IP86" s="214"/>
      <c r="IQ86" s="214"/>
      <c r="IR86" s="214"/>
      <c r="IS86" s="214"/>
      <c r="IT86" s="214"/>
      <c r="IU86" s="214"/>
      <c r="IV86" s="214"/>
      <c r="IW86" s="214"/>
      <c r="IX86" s="214"/>
      <c r="IY86" s="214"/>
      <c r="IZ86" s="214"/>
      <c r="JA86" s="214"/>
      <c r="JB86" s="214"/>
      <c r="JC86" s="214"/>
      <c r="JD86" s="214"/>
      <c r="JE86" s="214"/>
      <c r="JF86" s="214"/>
      <c r="JG86" s="214"/>
      <c r="JH86" s="214"/>
      <c r="JI86" s="214"/>
    </row>
    <row r="87" spans="1:269">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c r="CE87" s="214"/>
      <c r="CF87" s="214"/>
      <c r="CG87" s="214"/>
      <c r="CH87" s="214"/>
      <c r="CI87" s="214"/>
      <c r="CJ87" s="214"/>
      <c r="CK87" s="214"/>
      <c r="CL87" s="214"/>
      <c r="CM87" s="214"/>
      <c r="CN87" s="214"/>
      <c r="CO87" s="214"/>
      <c r="CP87" s="214"/>
      <c r="CQ87" s="214"/>
      <c r="CR87" s="214"/>
      <c r="CS87" s="214"/>
      <c r="CT87" s="214"/>
      <c r="CU87" s="214"/>
      <c r="CV87" s="214"/>
      <c r="CW87" s="214"/>
      <c r="CX87" s="214"/>
      <c r="CY87" s="214"/>
      <c r="CZ87" s="214"/>
      <c r="DA87" s="214"/>
      <c r="DB87" s="214"/>
      <c r="DC87" s="214"/>
      <c r="DD87" s="214"/>
      <c r="DE87" s="214"/>
      <c r="DF87" s="214"/>
      <c r="DG87" s="214"/>
      <c r="DH87" s="214"/>
      <c r="DI87" s="214"/>
      <c r="DJ87" s="214"/>
      <c r="DK87" s="214"/>
      <c r="DL87" s="214"/>
      <c r="DM87" s="214"/>
      <c r="DN87" s="214"/>
      <c r="DO87" s="214"/>
      <c r="DP87" s="214"/>
      <c r="DQ87" s="214"/>
      <c r="DR87" s="214"/>
      <c r="DS87" s="214"/>
      <c r="DT87" s="214"/>
      <c r="DU87" s="214"/>
      <c r="DV87" s="214"/>
      <c r="DW87" s="214"/>
      <c r="DX87" s="214"/>
      <c r="DY87" s="214"/>
      <c r="DZ87" s="214"/>
      <c r="EA87" s="214"/>
      <c r="EB87" s="214"/>
      <c r="EC87" s="214"/>
      <c r="ED87" s="214"/>
      <c r="EE87" s="214"/>
      <c r="EF87" s="214"/>
      <c r="EG87" s="214"/>
      <c r="EH87" s="214"/>
      <c r="EI87" s="214"/>
      <c r="EJ87" s="214"/>
      <c r="EK87" s="214"/>
      <c r="EL87" s="214"/>
      <c r="EM87" s="214"/>
      <c r="EN87" s="214"/>
      <c r="EO87" s="214"/>
      <c r="EP87" s="214"/>
      <c r="EQ87" s="214"/>
      <c r="ER87" s="214"/>
      <c r="ES87" s="214"/>
      <c r="ET87" s="214"/>
      <c r="EU87" s="214"/>
      <c r="EV87" s="214"/>
      <c r="EW87" s="214"/>
      <c r="EX87" s="214"/>
      <c r="EY87" s="214"/>
      <c r="EZ87" s="214"/>
      <c r="FA87" s="214"/>
      <c r="FB87" s="214"/>
      <c r="FC87" s="214"/>
      <c r="FD87" s="214"/>
      <c r="FE87" s="214"/>
      <c r="FF87" s="214"/>
      <c r="FG87" s="214"/>
      <c r="FH87" s="214"/>
      <c r="FI87" s="214"/>
      <c r="FJ87" s="214"/>
      <c r="FK87" s="214"/>
      <c r="FL87" s="214"/>
      <c r="FM87" s="214"/>
      <c r="FN87" s="214"/>
      <c r="FO87" s="214"/>
      <c r="FP87" s="214"/>
      <c r="FQ87" s="214"/>
      <c r="FR87" s="214"/>
      <c r="FS87" s="214"/>
      <c r="FT87" s="214"/>
      <c r="FU87" s="214"/>
      <c r="FV87" s="214"/>
      <c r="FW87" s="214"/>
      <c r="FX87" s="214"/>
      <c r="FY87" s="214"/>
      <c r="FZ87" s="214"/>
      <c r="GA87" s="214"/>
      <c r="GB87" s="214"/>
      <c r="GC87" s="214"/>
      <c r="GD87" s="214"/>
      <c r="GE87" s="214"/>
      <c r="GF87" s="214"/>
      <c r="GG87" s="214"/>
      <c r="GH87" s="214"/>
      <c r="GI87" s="214"/>
      <c r="GJ87" s="214"/>
      <c r="GK87" s="214"/>
      <c r="GL87" s="214"/>
      <c r="GM87" s="214"/>
      <c r="GN87" s="214"/>
      <c r="GO87" s="214"/>
      <c r="GP87" s="214"/>
      <c r="GQ87" s="214"/>
      <c r="GR87" s="214"/>
      <c r="GS87" s="214"/>
      <c r="GT87" s="214"/>
      <c r="GU87" s="214"/>
      <c r="GV87" s="214"/>
      <c r="GW87" s="214"/>
      <c r="GX87" s="214"/>
      <c r="GY87" s="214"/>
      <c r="GZ87" s="214"/>
      <c r="HA87" s="214"/>
      <c r="HB87" s="214"/>
      <c r="HC87" s="214"/>
      <c r="HD87" s="214"/>
      <c r="HE87" s="214"/>
      <c r="HF87" s="214"/>
      <c r="HG87" s="214"/>
      <c r="HH87" s="214"/>
      <c r="HI87" s="214"/>
      <c r="HJ87" s="214"/>
      <c r="HK87" s="214"/>
      <c r="HL87" s="214"/>
      <c r="HM87" s="214"/>
      <c r="HN87" s="214"/>
      <c r="HO87" s="214"/>
      <c r="HP87" s="214"/>
      <c r="HQ87" s="214"/>
      <c r="HR87" s="214"/>
      <c r="HS87" s="214"/>
      <c r="HT87" s="214"/>
      <c r="HU87" s="214"/>
      <c r="HV87" s="214"/>
      <c r="HW87" s="214"/>
      <c r="HX87" s="214"/>
      <c r="HY87" s="214"/>
      <c r="HZ87" s="214"/>
      <c r="IA87" s="214"/>
      <c r="IB87" s="214"/>
      <c r="IC87" s="214"/>
      <c r="ID87" s="214"/>
      <c r="IE87" s="214"/>
      <c r="IF87" s="214"/>
      <c r="IG87" s="214"/>
      <c r="IH87" s="214"/>
      <c r="II87" s="214"/>
      <c r="IJ87" s="214"/>
      <c r="IK87" s="214"/>
      <c r="IL87" s="214"/>
      <c r="IM87" s="214"/>
      <c r="IN87" s="214"/>
      <c r="IO87" s="214"/>
      <c r="IP87" s="214"/>
      <c r="IQ87" s="214"/>
      <c r="IR87" s="214"/>
      <c r="IS87" s="214"/>
      <c r="IT87" s="214"/>
      <c r="IU87" s="214"/>
      <c r="IV87" s="214"/>
      <c r="IW87" s="214"/>
      <c r="IX87" s="214"/>
      <c r="IY87" s="214"/>
      <c r="IZ87" s="214"/>
      <c r="JA87" s="214"/>
      <c r="JB87" s="214"/>
      <c r="JC87" s="214"/>
      <c r="JD87" s="214"/>
      <c r="JE87" s="214"/>
      <c r="JF87" s="214"/>
      <c r="JG87" s="214"/>
      <c r="JH87" s="214"/>
      <c r="JI87" s="214"/>
    </row>
    <row r="88" spans="1:269">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c r="CE88" s="214"/>
      <c r="CF88" s="214"/>
      <c r="CG88" s="214"/>
      <c r="CH88" s="214"/>
      <c r="CI88" s="214"/>
      <c r="CJ88" s="214"/>
      <c r="CK88" s="214"/>
      <c r="CL88" s="214"/>
      <c r="CM88" s="214"/>
      <c r="CN88" s="214"/>
      <c r="CO88" s="214"/>
      <c r="CP88" s="214"/>
      <c r="CQ88" s="214"/>
      <c r="CR88" s="214"/>
      <c r="CS88" s="214"/>
      <c r="CT88" s="214"/>
      <c r="CU88" s="214"/>
      <c r="CV88" s="214"/>
      <c r="CW88" s="214"/>
      <c r="CX88" s="214"/>
      <c r="CY88" s="214"/>
      <c r="CZ88" s="214"/>
      <c r="DA88" s="214"/>
      <c r="DB88" s="214"/>
      <c r="DC88" s="214"/>
      <c r="DD88" s="214"/>
      <c r="DE88" s="214"/>
      <c r="DF88" s="214"/>
      <c r="DG88" s="214"/>
      <c r="DH88" s="214"/>
      <c r="DI88" s="214"/>
      <c r="DJ88" s="214"/>
      <c r="DK88" s="214"/>
      <c r="DL88" s="214"/>
      <c r="DM88" s="214"/>
      <c r="DN88" s="214"/>
      <c r="DO88" s="214"/>
      <c r="DP88" s="214"/>
      <c r="DQ88" s="214"/>
      <c r="DR88" s="214"/>
      <c r="DS88" s="214"/>
      <c r="DT88" s="214"/>
      <c r="DU88" s="214"/>
      <c r="DV88" s="214"/>
      <c r="DW88" s="214"/>
      <c r="DX88" s="214"/>
      <c r="DY88" s="214"/>
      <c r="DZ88" s="214"/>
      <c r="EA88" s="214"/>
      <c r="EB88" s="214"/>
      <c r="EC88" s="214"/>
      <c r="ED88" s="214"/>
      <c r="EE88" s="214"/>
      <c r="EF88" s="214"/>
      <c r="EG88" s="214"/>
      <c r="EH88" s="214"/>
      <c r="EI88" s="214"/>
      <c r="EJ88" s="214"/>
      <c r="EK88" s="214"/>
      <c r="EL88" s="214"/>
      <c r="EM88" s="214"/>
      <c r="EN88" s="214"/>
      <c r="EO88" s="214"/>
      <c r="EP88" s="214"/>
      <c r="EQ88" s="214"/>
      <c r="ER88" s="214"/>
      <c r="ES88" s="214"/>
      <c r="ET88" s="214"/>
      <c r="EU88" s="214"/>
      <c r="EV88" s="214"/>
      <c r="EW88" s="214"/>
      <c r="EX88" s="214"/>
      <c r="EY88" s="214"/>
      <c r="EZ88" s="214"/>
      <c r="FA88" s="214"/>
      <c r="FB88" s="214"/>
      <c r="FC88" s="214"/>
      <c r="FD88" s="214"/>
      <c r="FE88" s="214"/>
      <c r="FF88" s="214"/>
      <c r="FG88" s="214"/>
      <c r="FH88" s="214"/>
      <c r="FI88" s="214"/>
      <c r="FJ88" s="214"/>
      <c r="FK88" s="214"/>
      <c r="FL88" s="214"/>
      <c r="FM88" s="214"/>
      <c r="FN88" s="214"/>
      <c r="FO88" s="214"/>
      <c r="FP88" s="214"/>
      <c r="FQ88" s="214"/>
      <c r="FR88" s="214"/>
      <c r="FS88" s="214"/>
      <c r="FT88" s="214"/>
      <c r="FU88" s="214"/>
      <c r="FV88" s="214"/>
      <c r="FW88" s="214"/>
      <c r="FX88" s="214"/>
      <c r="FY88" s="214"/>
      <c r="FZ88" s="214"/>
      <c r="GA88" s="214"/>
      <c r="GB88" s="214"/>
      <c r="GC88" s="214"/>
      <c r="GD88" s="214"/>
      <c r="GE88" s="214"/>
      <c r="GF88" s="214"/>
      <c r="GG88" s="214"/>
      <c r="GH88" s="214"/>
      <c r="GI88" s="214"/>
      <c r="GJ88" s="214"/>
      <c r="GK88" s="214"/>
      <c r="GL88" s="214"/>
      <c r="GM88" s="214"/>
      <c r="GN88" s="214"/>
      <c r="GO88" s="214"/>
      <c r="GP88" s="214"/>
      <c r="GQ88" s="214"/>
      <c r="GR88" s="214"/>
      <c r="GS88" s="214"/>
      <c r="GT88" s="214"/>
      <c r="GU88" s="214"/>
      <c r="GV88" s="214"/>
      <c r="GW88" s="214"/>
      <c r="GX88" s="214"/>
      <c r="GY88" s="214"/>
      <c r="GZ88" s="214"/>
      <c r="HA88" s="214"/>
      <c r="HB88" s="214"/>
      <c r="HC88" s="214"/>
      <c r="HD88" s="214"/>
      <c r="HE88" s="214"/>
      <c r="HF88" s="214"/>
      <c r="HG88" s="214"/>
      <c r="HH88" s="214"/>
      <c r="HI88" s="214"/>
      <c r="HJ88" s="214"/>
      <c r="HK88" s="214"/>
      <c r="HL88" s="214"/>
      <c r="HM88" s="214"/>
      <c r="HN88" s="214"/>
      <c r="HO88" s="214"/>
      <c r="HP88" s="214"/>
      <c r="HQ88" s="214"/>
      <c r="HR88" s="214"/>
      <c r="HS88" s="214"/>
      <c r="HT88" s="214"/>
      <c r="HU88" s="214"/>
      <c r="HV88" s="214"/>
      <c r="HW88" s="214"/>
      <c r="HX88" s="214"/>
      <c r="HY88" s="214"/>
      <c r="HZ88" s="214"/>
      <c r="IA88" s="214"/>
      <c r="IB88" s="214"/>
      <c r="IC88" s="214"/>
      <c r="ID88" s="214"/>
      <c r="IE88" s="214"/>
      <c r="IF88" s="214"/>
      <c r="IG88" s="214"/>
      <c r="IH88" s="214"/>
      <c r="II88" s="214"/>
      <c r="IJ88" s="214"/>
      <c r="IK88" s="214"/>
      <c r="IL88" s="214"/>
      <c r="IM88" s="214"/>
      <c r="IN88" s="214"/>
      <c r="IO88" s="214"/>
      <c r="IP88" s="214"/>
      <c r="IQ88" s="214"/>
      <c r="IR88" s="214"/>
      <c r="IS88" s="214"/>
      <c r="IT88" s="214"/>
      <c r="IU88" s="214"/>
      <c r="IV88" s="214"/>
      <c r="IW88" s="214"/>
      <c r="IX88" s="214"/>
      <c r="IY88" s="214"/>
      <c r="IZ88" s="214"/>
      <c r="JA88" s="214"/>
      <c r="JB88" s="214"/>
      <c r="JC88" s="214"/>
      <c r="JD88" s="214"/>
      <c r="JE88" s="214"/>
      <c r="JF88" s="214"/>
      <c r="JG88" s="214"/>
      <c r="JH88" s="214"/>
      <c r="JI88" s="214"/>
    </row>
    <row r="89" spans="1:269">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c r="CE89" s="214"/>
      <c r="CF89" s="214"/>
      <c r="CG89" s="214"/>
      <c r="CH89" s="214"/>
      <c r="CI89" s="214"/>
      <c r="CJ89" s="214"/>
      <c r="CK89" s="214"/>
      <c r="CL89" s="214"/>
      <c r="CM89" s="214"/>
      <c r="CN89" s="214"/>
      <c r="CO89" s="214"/>
      <c r="CP89" s="214"/>
      <c r="CQ89" s="214"/>
      <c r="CR89" s="214"/>
      <c r="CS89" s="214"/>
      <c r="CT89" s="214"/>
      <c r="CU89" s="214"/>
      <c r="CV89" s="214"/>
      <c r="CW89" s="214"/>
      <c r="CX89" s="214"/>
      <c r="CY89" s="214"/>
      <c r="CZ89" s="214"/>
      <c r="DA89" s="214"/>
      <c r="DB89" s="214"/>
      <c r="DC89" s="214"/>
      <c r="DD89" s="214"/>
      <c r="DE89" s="214"/>
      <c r="DF89" s="214"/>
      <c r="DG89" s="214"/>
      <c r="DH89" s="214"/>
      <c r="DI89" s="214"/>
      <c r="DJ89" s="214"/>
      <c r="DK89" s="214"/>
      <c r="DL89" s="214"/>
      <c r="DM89" s="214"/>
      <c r="DN89" s="214"/>
      <c r="DO89" s="214"/>
      <c r="DP89" s="214"/>
      <c r="DQ89" s="214"/>
      <c r="DR89" s="214"/>
      <c r="DS89" s="214"/>
      <c r="DT89" s="214"/>
      <c r="DU89" s="214"/>
      <c r="DV89" s="214"/>
      <c r="DW89" s="214"/>
      <c r="DX89" s="214"/>
      <c r="DY89" s="214"/>
      <c r="DZ89" s="214"/>
      <c r="EA89" s="214"/>
      <c r="EB89" s="214"/>
      <c r="EC89" s="214"/>
      <c r="ED89" s="214"/>
      <c r="EE89" s="214"/>
      <c r="EF89" s="214"/>
      <c r="EG89" s="214"/>
      <c r="EH89" s="214"/>
      <c r="EI89" s="214"/>
      <c r="EJ89" s="214"/>
      <c r="EK89" s="214"/>
      <c r="EL89" s="214"/>
      <c r="EM89" s="214"/>
      <c r="EN89" s="214"/>
      <c r="EO89" s="214"/>
      <c r="EP89" s="214"/>
      <c r="EQ89" s="214"/>
      <c r="ER89" s="214"/>
      <c r="ES89" s="214"/>
      <c r="ET89" s="214"/>
      <c r="EU89" s="214"/>
      <c r="EV89" s="214"/>
      <c r="EW89" s="214"/>
      <c r="EX89" s="214"/>
      <c r="EY89" s="214"/>
      <c r="EZ89" s="214"/>
      <c r="FA89" s="214"/>
      <c r="FB89" s="214"/>
      <c r="FC89" s="214"/>
      <c r="FD89" s="214"/>
      <c r="FE89" s="214"/>
      <c r="FF89" s="214"/>
      <c r="FG89" s="214"/>
      <c r="FH89" s="214"/>
      <c r="FI89" s="214"/>
      <c r="FJ89" s="214"/>
      <c r="FK89" s="214"/>
      <c r="FL89" s="214"/>
      <c r="FM89" s="214"/>
      <c r="FN89" s="214"/>
      <c r="FO89" s="214"/>
      <c r="FP89" s="214"/>
      <c r="FQ89" s="214"/>
      <c r="FR89" s="214"/>
      <c r="FS89" s="214"/>
      <c r="FT89" s="214"/>
      <c r="FU89" s="214"/>
      <c r="FV89" s="214"/>
      <c r="FW89" s="214"/>
      <c r="FX89" s="214"/>
      <c r="FY89" s="214"/>
      <c r="FZ89" s="214"/>
      <c r="GA89" s="214"/>
      <c r="GB89" s="214"/>
      <c r="GC89" s="214"/>
      <c r="GD89" s="214"/>
      <c r="GE89" s="214"/>
      <c r="GF89" s="214"/>
      <c r="GG89" s="214"/>
      <c r="GH89" s="214"/>
      <c r="GI89" s="214"/>
      <c r="GJ89" s="214"/>
      <c r="GK89" s="214"/>
      <c r="GL89" s="214"/>
      <c r="GM89" s="214"/>
      <c r="GN89" s="214"/>
      <c r="GO89" s="214"/>
      <c r="GP89" s="214"/>
      <c r="GQ89" s="214"/>
      <c r="GR89" s="214"/>
      <c r="GS89" s="214"/>
      <c r="GT89" s="214"/>
      <c r="GU89" s="214"/>
      <c r="GV89" s="214"/>
      <c r="GW89" s="214"/>
      <c r="GX89" s="214"/>
      <c r="GY89" s="214"/>
      <c r="GZ89" s="214"/>
      <c r="HA89" s="214"/>
      <c r="HB89" s="214"/>
      <c r="HC89" s="214"/>
      <c r="HD89" s="214"/>
      <c r="HE89" s="214"/>
      <c r="HF89" s="214"/>
      <c r="HG89" s="214"/>
      <c r="HH89" s="214"/>
      <c r="HI89" s="214"/>
      <c r="HJ89" s="214"/>
      <c r="HK89" s="214"/>
      <c r="HL89" s="214"/>
      <c r="HM89" s="214"/>
      <c r="HN89" s="214"/>
      <c r="HO89" s="214"/>
      <c r="HP89" s="214"/>
      <c r="HQ89" s="214"/>
      <c r="HR89" s="214"/>
      <c r="HS89" s="214"/>
      <c r="HT89" s="214"/>
      <c r="HU89" s="214"/>
      <c r="HV89" s="214"/>
      <c r="HW89" s="214"/>
      <c r="HX89" s="214"/>
      <c r="HY89" s="214"/>
      <c r="HZ89" s="214"/>
      <c r="IA89" s="214"/>
      <c r="IB89" s="214"/>
      <c r="IC89" s="214"/>
      <c r="ID89" s="214"/>
      <c r="IE89" s="214"/>
      <c r="IF89" s="214"/>
      <c r="IG89" s="214"/>
      <c r="IH89" s="214"/>
      <c r="II89" s="214"/>
      <c r="IJ89" s="214"/>
      <c r="IK89" s="214"/>
      <c r="IL89" s="214"/>
      <c r="IM89" s="214"/>
      <c r="IN89" s="214"/>
      <c r="IO89" s="214"/>
      <c r="IP89" s="214"/>
      <c r="IQ89" s="214"/>
      <c r="IR89" s="214"/>
      <c r="IS89" s="214"/>
      <c r="IT89" s="214"/>
      <c r="IU89" s="214"/>
      <c r="IV89" s="214"/>
      <c r="IW89" s="214"/>
      <c r="IX89" s="214"/>
      <c r="IY89" s="214"/>
      <c r="IZ89" s="214"/>
      <c r="JA89" s="214"/>
      <c r="JB89" s="214"/>
      <c r="JC89" s="214"/>
      <c r="JD89" s="214"/>
      <c r="JE89" s="214"/>
      <c r="JF89" s="214"/>
      <c r="JG89" s="214"/>
      <c r="JH89" s="214"/>
      <c r="JI89" s="214"/>
    </row>
    <row r="90" spans="1:269">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214"/>
      <c r="CF90" s="214"/>
      <c r="CG90" s="214"/>
      <c r="CH90" s="214"/>
      <c r="CI90" s="214"/>
      <c r="CJ90" s="214"/>
      <c r="CK90" s="214"/>
      <c r="CL90" s="214"/>
      <c r="CM90" s="214"/>
      <c r="CN90" s="214"/>
      <c r="CO90" s="214"/>
      <c r="CP90" s="214"/>
      <c r="CQ90" s="214"/>
      <c r="CR90" s="214"/>
      <c r="CS90" s="214"/>
      <c r="CT90" s="214"/>
      <c r="CU90" s="214"/>
      <c r="CV90" s="214"/>
      <c r="CW90" s="214"/>
      <c r="CX90" s="214"/>
      <c r="CY90" s="214"/>
      <c r="CZ90" s="214"/>
      <c r="DA90" s="214"/>
      <c r="DB90" s="214"/>
      <c r="DC90" s="214"/>
      <c r="DD90" s="214"/>
      <c r="DE90" s="214"/>
      <c r="DF90" s="214"/>
      <c r="DG90" s="214"/>
      <c r="DH90" s="214"/>
      <c r="DI90" s="214"/>
      <c r="DJ90" s="214"/>
      <c r="DK90" s="214"/>
      <c r="DL90" s="214"/>
      <c r="DM90" s="214"/>
      <c r="DN90" s="214"/>
      <c r="DO90" s="214"/>
      <c r="DP90" s="214"/>
      <c r="DQ90" s="214"/>
      <c r="DR90" s="214"/>
      <c r="DS90" s="214"/>
      <c r="DT90" s="214"/>
      <c r="DU90" s="214"/>
      <c r="DV90" s="214"/>
      <c r="DW90" s="214"/>
      <c r="DX90" s="214"/>
      <c r="DY90" s="214"/>
      <c r="DZ90" s="214"/>
      <c r="EA90" s="214"/>
      <c r="EB90" s="214"/>
      <c r="EC90" s="214"/>
      <c r="ED90" s="214"/>
      <c r="EE90" s="214"/>
      <c r="EF90" s="214"/>
      <c r="EG90" s="214"/>
      <c r="EH90" s="214"/>
      <c r="EI90" s="214"/>
      <c r="EJ90" s="214"/>
      <c r="EK90" s="214"/>
      <c r="EL90" s="214"/>
      <c r="EM90" s="214"/>
      <c r="EN90" s="214"/>
      <c r="EO90" s="214"/>
      <c r="EP90" s="214"/>
      <c r="EQ90" s="214"/>
      <c r="ER90" s="214"/>
      <c r="ES90" s="214"/>
      <c r="ET90" s="214"/>
      <c r="EU90" s="214"/>
      <c r="EV90" s="214"/>
      <c r="EW90" s="214"/>
      <c r="EX90" s="214"/>
      <c r="EY90" s="214"/>
      <c r="EZ90" s="214"/>
      <c r="FA90" s="214"/>
      <c r="FB90" s="214"/>
      <c r="FC90" s="214"/>
      <c r="FD90" s="214"/>
      <c r="FE90" s="214"/>
      <c r="FF90" s="214"/>
      <c r="FG90" s="214"/>
      <c r="FH90" s="214"/>
      <c r="FI90" s="214"/>
      <c r="FJ90" s="214"/>
      <c r="FK90" s="214"/>
      <c r="FL90" s="214"/>
      <c r="FM90" s="214"/>
      <c r="FN90" s="214"/>
      <c r="FO90" s="214"/>
      <c r="FP90" s="214"/>
      <c r="FQ90" s="214"/>
      <c r="FR90" s="214"/>
      <c r="FS90" s="214"/>
      <c r="FT90" s="214"/>
      <c r="FU90" s="214"/>
      <c r="FV90" s="214"/>
      <c r="FW90" s="214"/>
      <c r="FX90" s="214"/>
      <c r="FY90" s="214"/>
      <c r="FZ90" s="214"/>
      <c r="GA90" s="214"/>
      <c r="GB90" s="214"/>
      <c r="GC90" s="214"/>
      <c r="GD90" s="214"/>
      <c r="GE90" s="214"/>
      <c r="GF90" s="214"/>
      <c r="GG90" s="214"/>
      <c r="GH90" s="214"/>
      <c r="GI90" s="214"/>
      <c r="GJ90" s="214"/>
      <c r="GK90" s="214"/>
      <c r="GL90" s="214"/>
      <c r="GM90" s="214"/>
      <c r="GN90" s="214"/>
      <c r="GO90" s="214"/>
      <c r="GP90" s="214"/>
      <c r="GQ90" s="214"/>
      <c r="GR90" s="214"/>
      <c r="GS90" s="214"/>
      <c r="GT90" s="214"/>
      <c r="GU90" s="214"/>
      <c r="GV90" s="214"/>
      <c r="GW90" s="214"/>
      <c r="GX90" s="214"/>
      <c r="GY90" s="214"/>
      <c r="GZ90" s="214"/>
      <c r="HA90" s="214"/>
      <c r="HB90" s="214"/>
      <c r="HC90" s="214"/>
      <c r="HD90" s="214"/>
      <c r="HE90" s="214"/>
      <c r="HF90" s="214"/>
      <c r="HG90" s="214"/>
      <c r="HH90" s="214"/>
      <c r="HI90" s="214"/>
      <c r="HJ90" s="214"/>
      <c r="HK90" s="214"/>
      <c r="HL90" s="214"/>
      <c r="HM90" s="214"/>
      <c r="HN90" s="214"/>
      <c r="HO90" s="214"/>
      <c r="HP90" s="214"/>
      <c r="HQ90" s="214"/>
      <c r="HR90" s="214"/>
      <c r="HS90" s="214"/>
      <c r="HT90" s="214"/>
      <c r="HU90" s="214"/>
      <c r="HV90" s="214"/>
      <c r="HW90" s="214"/>
      <c r="HX90" s="214"/>
      <c r="HY90" s="214"/>
      <c r="HZ90" s="214"/>
      <c r="IA90" s="214"/>
      <c r="IB90" s="214"/>
      <c r="IC90" s="214"/>
      <c r="ID90" s="214"/>
      <c r="IE90" s="214"/>
      <c r="IF90" s="214"/>
      <c r="IG90" s="214"/>
      <c r="IH90" s="214"/>
      <c r="II90" s="214"/>
      <c r="IJ90" s="214"/>
      <c r="IK90" s="214"/>
      <c r="IL90" s="214"/>
      <c r="IM90" s="214"/>
      <c r="IN90" s="214"/>
      <c r="IO90" s="214"/>
      <c r="IP90" s="214"/>
      <c r="IQ90" s="214"/>
      <c r="IR90" s="214"/>
      <c r="IS90" s="214"/>
      <c r="IT90" s="214"/>
      <c r="IU90" s="214"/>
      <c r="IV90" s="214"/>
      <c r="IW90" s="214"/>
      <c r="IX90" s="214"/>
      <c r="IY90" s="214"/>
      <c r="IZ90" s="214"/>
      <c r="JA90" s="214"/>
      <c r="JB90" s="214"/>
      <c r="JC90" s="214"/>
      <c r="JD90" s="214"/>
      <c r="JE90" s="214"/>
      <c r="JF90" s="214"/>
      <c r="JG90" s="214"/>
      <c r="JH90" s="214"/>
      <c r="JI90" s="214"/>
    </row>
    <row r="91" spans="1:269">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4"/>
      <c r="CG91" s="214"/>
      <c r="CH91" s="214"/>
      <c r="CI91" s="214"/>
      <c r="CJ91" s="214"/>
      <c r="CK91" s="214"/>
      <c r="CL91" s="214"/>
      <c r="CM91" s="214"/>
      <c r="CN91" s="214"/>
      <c r="CO91" s="214"/>
      <c r="CP91" s="214"/>
      <c r="CQ91" s="214"/>
      <c r="CR91" s="214"/>
      <c r="CS91" s="214"/>
      <c r="CT91" s="214"/>
      <c r="CU91" s="214"/>
      <c r="CV91" s="214"/>
      <c r="CW91" s="214"/>
      <c r="CX91" s="214"/>
      <c r="CY91" s="214"/>
      <c r="CZ91" s="214"/>
      <c r="DA91" s="214"/>
      <c r="DB91" s="214"/>
      <c r="DC91" s="214"/>
      <c r="DD91" s="214"/>
      <c r="DE91" s="214"/>
      <c r="DF91" s="214"/>
      <c r="DG91" s="214"/>
      <c r="DH91" s="214"/>
      <c r="DI91" s="214"/>
      <c r="DJ91" s="214"/>
      <c r="DK91" s="214"/>
      <c r="DL91" s="214"/>
      <c r="DM91" s="214"/>
      <c r="DN91" s="214"/>
      <c r="DO91" s="214"/>
      <c r="DP91" s="214"/>
      <c r="DQ91" s="214"/>
      <c r="DR91" s="214"/>
      <c r="DS91" s="214"/>
      <c r="DT91" s="214"/>
      <c r="DU91" s="214"/>
      <c r="DV91" s="214"/>
      <c r="DW91" s="214"/>
      <c r="DX91" s="214"/>
      <c r="DY91" s="214"/>
      <c r="DZ91" s="214"/>
      <c r="EA91" s="214"/>
      <c r="EB91" s="214"/>
      <c r="EC91" s="214"/>
      <c r="ED91" s="214"/>
      <c r="EE91" s="214"/>
      <c r="EF91" s="214"/>
      <c r="EG91" s="214"/>
      <c r="EH91" s="214"/>
      <c r="EI91" s="214"/>
      <c r="EJ91" s="214"/>
      <c r="EK91" s="214"/>
      <c r="EL91" s="214"/>
      <c r="EM91" s="214"/>
      <c r="EN91" s="214"/>
      <c r="EO91" s="214"/>
      <c r="EP91" s="214"/>
      <c r="EQ91" s="214"/>
      <c r="ER91" s="214"/>
      <c r="ES91" s="214"/>
      <c r="ET91" s="214"/>
      <c r="EU91" s="214"/>
      <c r="EV91" s="214"/>
      <c r="EW91" s="214"/>
      <c r="EX91" s="214"/>
      <c r="EY91" s="214"/>
      <c r="EZ91" s="214"/>
      <c r="FA91" s="214"/>
      <c r="FB91" s="214"/>
      <c r="FC91" s="214"/>
      <c r="FD91" s="214"/>
      <c r="FE91" s="214"/>
      <c r="FF91" s="214"/>
      <c r="FG91" s="214"/>
      <c r="FH91" s="214"/>
      <c r="FI91" s="214"/>
      <c r="FJ91" s="214"/>
      <c r="FK91" s="214"/>
      <c r="FL91" s="214"/>
      <c r="FM91" s="214"/>
      <c r="FN91" s="214"/>
      <c r="FO91" s="214"/>
      <c r="FP91" s="214"/>
      <c r="FQ91" s="214"/>
      <c r="FR91" s="214"/>
      <c r="FS91" s="214"/>
      <c r="FT91" s="214"/>
      <c r="FU91" s="214"/>
      <c r="FV91" s="214"/>
      <c r="FW91" s="214"/>
      <c r="FX91" s="214"/>
      <c r="FY91" s="214"/>
      <c r="FZ91" s="214"/>
      <c r="GA91" s="214"/>
      <c r="GB91" s="214"/>
      <c r="GC91" s="214"/>
      <c r="GD91" s="214"/>
      <c r="GE91" s="214"/>
      <c r="GF91" s="214"/>
      <c r="GG91" s="214"/>
      <c r="GH91" s="214"/>
      <c r="GI91" s="214"/>
      <c r="GJ91" s="214"/>
      <c r="GK91" s="214"/>
      <c r="GL91" s="214"/>
      <c r="GM91" s="214"/>
      <c r="GN91" s="214"/>
      <c r="GO91" s="214"/>
      <c r="GP91" s="214"/>
      <c r="GQ91" s="214"/>
      <c r="GR91" s="214"/>
      <c r="GS91" s="214"/>
      <c r="GT91" s="214"/>
      <c r="GU91" s="214"/>
      <c r="GV91" s="214"/>
      <c r="GW91" s="214"/>
      <c r="GX91" s="214"/>
      <c r="GY91" s="214"/>
      <c r="GZ91" s="214"/>
      <c r="HA91" s="214"/>
      <c r="HB91" s="214"/>
      <c r="HC91" s="214"/>
      <c r="HD91" s="214"/>
      <c r="HE91" s="214"/>
      <c r="HF91" s="214"/>
      <c r="HG91" s="214"/>
      <c r="HH91" s="214"/>
      <c r="HI91" s="214"/>
      <c r="HJ91" s="214"/>
      <c r="HK91" s="214"/>
      <c r="HL91" s="214"/>
      <c r="HM91" s="214"/>
      <c r="HN91" s="214"/>
      <c r="HO91" s="214"/>
      <c r="HP91" s="214"/>
      <c r="HQ91" s="214"/>
      <c r="HR91" s="214"/>
      <c r="HS91" s="214"/>
      <c r="HT91" s="214"/>
      <c r="HU91" s="214"/>
      <c r="HV91" s="214"/>
      <c r="HW91" s="214"/>
      <c r="HX91" s="214"/>
      <c r="HY91" s="214"/>
      <c r="HZ91" s="214"/>
      <c r="IA91" s="214"/>
      <c r="IB91" s="214"/>
      <c r="IC91" s="214"/>
      <c r="ID91" s="214"/>
      <c r="IE91" s="214"/>
      <c r="IF91" s="214"/>
      <c r="IG91" s="214"/>
      <c r="IH91" s="214"/>
      <c r="II91" s="214"/>
      <c r="IJ91" s="214"/>
      <c r="IK91" s="214"/>
      <c r="IL91" s="214"/>
      <c r="IM91" s="214"/>
      <c r="IN91" s="214"/>
      <c r="IO91" s="214"/>
      <c r="IP91" s="214"/>
      <c r="IQ91" s="214"/>
      <c r="IR91" s="214"/>
      <c r="IS91" s="214"/>
      <c r="IT91" s="214"/>
      <c r="IU91" s="214"/>
      <c r="IV91" s="214"/>
      <c r="IW91" s="214"/>
      <c r="IX91" s="214"/>
      <c r="IY91" s="214"/>
      <c r="IZ91" s="214"/>
      <c r="JA91" s="214"/>
      <c r="JB91" s="214"/>
      <c r="JC91" s="214"/>
      <c r="JD91" s="214"/>
      <c r="JE91" s="214"/>
      <c r="JF91" s="214"/>
      <c r="JG91" s="214"/>
      <c r="JH91" s="214"/>
      <c r="JI91" s="214"/>
    </row>
    <row r="92" spans="1:269">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214"/>
      <c r="CF92" s="214"/>
      <c r="CG92" s="214"/>
      <c r="CH92" s="214"/>
      <c r="CI92" s="214"/>
      <c r="CJ92" s="214"/>
      <c r="CK92" s="214"/>
      <c r="CL92" s="214"/>
      <c r="CM92" s="214"/>
      <c r="CN92" s="214"/>
      <c r="CO92" s="214"/>
      <c r="CP92" s="214"/>
      <c r="CQ92" s="214"/>
      <c r="CR92" s="214"/>
      <c r="CS92" s="214"/>
      <c r="CT92" s="214"/>
      <c r="CU92" s="214"/>
      <c r="CV92" s="214"/>
      <c r="CW92" s="214"/>
      <c r="CX92" s="214"/>
      <c r="CY92" s="214"/>
      <c r="CZ92" s="214"/>
      <c r="DA92" s="214"/>
      <c r="DB92" s="214"/>
      <c r="DC92" s="214"/>
      <c r="DD92" s="214"/>
      <c r="DE92" s="214"/>
      <c r="DF92" s="214"/>
      <c r="DG92" s="214"/>
      <c r="DH92" s="214"/>
      <c r="DI92" s="214"/>
      <c r="DJ92" s="214"/>
      <c r="DK92" s="214"/>
      <c r="DL92" s="214"/>
      <c r="DM92" s="214"/>
      <c r="DN92" s="214"/>
      <c r="DO92" s="214"/>
      <c r="DP92" s="214"/>
      <c r="DQ92" s="214"/>
      <c r="DR92" s="214"/>
      <c r="DS92" s="214"/>
      <c r="DT92" s="214"/>
      <c r="DU92" s="214"/>
      <c r="DV92" s="214"/>
      <c r="DW92" s="214"/>
      <c r="DX92" s="214"/>
      <c r="DY92" s="214"/>
      <c r="DZ92" s="214"/>
      <c r="EA92" s="214"/>
      <c r="EB92" s="214"/>
      <c r="EC92" s="214"/>
      <c r="ED92" s="214"/>
      <c r="EE92" s="214"/>
      <c r="EF92" s="214"/>
      <c r="EG92" s="214"/>
      <c r="EH92" s="214"/>
      <c r="EI92" s="214"/>
      <c r="EJ92" s="214"/>
      <c r="EK92" s="214"/>
      <c r="EL92" s="214"/>
      <c r="EM92" s="214"/>
      <c r="EN92" s="214"/>
      <c r="EO92" s="214"/>
      <c r="EP92" s="214"/>
      <c r="EQ92" s="214"/>
      <c r="ER92" s="214"/>
      <c r="ES92" s="214"/>
      <c r="ET92" s="214"/>
      <c r="EU92" s="214"/>
      <c r="EV92" s="214"/>
      <c r="EW92" s="214"/>
      <c r="EX92" s="214"/>
      <c r="EY92" s="214"/>
      <c r="EZ92" s="214"/>
      <c r="FA92" s="214"/>
      <c r="FB92" s="214"/>
      <c r="FC92" s="214"/>
      <c r="FD92" s="214"/>
      <c r="FE92" s="214"/>
      <c r="FF92" s="214"/>
      <c r="FG92" s="214"/>
      <c r="FH92" s="214"/>
      <c r="FI92" s="214"/>
      <c r="FJ92" s="214"/>
      <c r="FK92" s="214"/>
      <c r="FL92" s="214"/>
      <c r="FM92" s="214"/>
      <c r="FN92" s="214"/>
      <c r="FO92" s="214"/>
      <c r="FP92" s="214"/>
      <c r="FQ92" s="214"/>
      <c r="FR92" s="214"/>
      <c r="FS92" s="214"/>
      <c r="FT92" s="214"/>
      <c r="FU92" s="214"/>
      <c r="FV92" s="214"/>
      <c r="FW92" s="214"/>
      <c r="FX92" s="214"/>
      <c r="FY92" s="214"/>
      <c r="FZ92" s="214"/>
      <c r="GA92" s="214"/>
      <c r="GB92" s="214"/>
      <c r="GC92" s="214"/>
      <c r="GD92" s="214"/>
      <c r="GE92" s="214"/>
      <c r="GF92" s="214"/>
      <c r="GG92" s="214"/>
      <c r="GH92" s="214"/>
      <c r="GI92" s="214"/>
      <c r="GJ92" s="214"/>
      <c r="GK92" s="214"/>
      <c r="GL92" s="214"/>
      <c r="GM92" s="214"/>
      <c r="GN92" s="214"/>
      <c r="GO92" s="214"/>
      <c r="GP92" s="214"/>
      <c r="GQ92" s="214"/>
      <c r="GR92" s="214"/>
      <c r="GS92" s="214"/>
      <c r="GT92" s="214"/>
      <c r="GU92" s="214"/>
      <c r="GV92" s="214"/>
      <c r="GW92" s="214"/>
      <c r="GX92" s="214"/>
      <c r="GY92" s="214"/>
      <c r="GZ92" s="214"/>
      <c r="HA92" s="214"/>
      <c r="HB92" s="214"/>
      <c r="HC92" s="214"/>
      <c r="HD92" s="214"/>
      <c r="HE92" s="214"/>
      <c r="HF92" s="214"/>
      <c r="HG92" s="214"/>
      <c r="HH92" s="214"/>
      <c r="HI92" s="214"/>
      <c r="HJ92" s="214"/>
      <c r="HK92" s="214"/>
      <c r="HL92" s="214"/>
      <c r="HM92" s="214"/>
      <c r="HN92" s="214"/>
      <c r="HO92" s="214"/>
      <c r="HP92" s="214"/>
      <c r="HQ92" s="214"/>
      <c r="HR92" s="214"/>
      <c r="HS92" s="214"/>
      <c r="HT92" s="214"/>
      <c r="HU92" s="214"/>
      <c r="HV92" s="214"/>
      <c r="HW92" s="214"/>
      <c r="HX92" s="214"/>
      <c r="HY92" s="214"/>
      <c r="HZ92" s="214"/>
      <c r="IA92" s="214"/>
      <c r="IB92" s="214"/>
      <c r="IC92" s="214"/>
      <c r="ID92" s="214"/>
      <c r="IE92" s="214"/>
      <c r="IF92" s="214"/>
      <c r="IG92" s="214"/>
      <c r="IH92" s="214"/>
      <c r="II92" s="214"/>
      <c r="IJ92" s="214"/>
      <c r="IK92" s="214"/>
      <c r="IL92" s="214"/>
      <c r="IM92" s="214"/>
      <c r="IN92" s="214"/>
      <c r="IO92" s="214"/>
      <c r="IP92" s="214"/>
      <c r="IQ92" s="214"/>
      <c r="IR92" s="214"/>
      <c r="IS92" s="214"/>
      <c r="IT92" s="214"/>
      <c r="IU92" s="214"/>
      <c r="IV92" s="214"/>
      <c r="IW92" s="214"/>
      <c r="IX92" s="214"/>
      <c r="IY92" s="214"/>
      <c r="IZ92" s="214"/>
      <c r="JA92" s="214"/>
      <c r="JB92" s="214"/>
      <c r="JC92" s="214"/>
      <c r="JD92" s="214"/>
      <c r="JE92" s="214"/>
      <c r="JF92" s="214"/>
      <c r="JG92" s="214"/>
      <c r="JH92" s="214"/>
      <c r="JI92" s="214"/>
    </row>
    <row r="93" spans="1:269">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c r="CG93" s="214"/>
      <c r="CH93" s="214"/>
      <c r="CI93" s="214"/>
      <c r="CJ93" s="214"/>
      <c r="CK93" s="214"/>
      <c r="CL93" s="214"/>
      <c r="CM93" s="214"/>
      <c r="CN93" s="214"/>
      <c r="CO93" s="214"/>
      <c r="CP93" s="214"/>
      <c r="CQ93" s="214"/>
      <c r="CR93" s="214"/>
      <c r="CS93" s="214"/>
      <c r="CT93" s="214"/>
      <c r="CU93" s="214"/>
      <c r="CV93" s="214"/>
      <c r="CW93" s="214"/>
      <c r="CX93" s="214"/>
      <c r="CY93" s="214"/>
      <c r="CZ93" s="214"/>
      <c r="DA93" s="214"/>
      <c r="DB93" s="214"/>
      <c r="DC93" s="214"/>
      <c r="DD93" s="214"/>
      <c r="DE93" s="214"/>
      <c r="DF93" s="214"/>
      <c r="DG93" s="214"/>
      <c r="DH93" s="214"/>
      <c r="DI93" s="214"/>
      <c r="DJ93" s="214"/>
      <c r="DK93" s="214"/>
      <c r="DL93" s="214"/>
      <c r="DM93" s="214"/>
      <c r="DN93" s="214"/>
      <c r="DO93" s="214"/>
      <c r="DP93" s="214"/>
      <c r="DQ93" s="214"/>
      <c r="DR93" s="214"/>
      <c r="DS93" s="214"/>
      <c r="DT93" s="214"/>
      <c r="DU93" s="214"/>
      <c r="DV93" s="214"/>
      <c r="DW93" s="214"/>
      <c r="DX93" s="214"/>
      <c r="DY93" s="214"/>
      <c r="DZ93" s="214"/>
      <c r="EA93" s="214"/>
      <c r="EB93" s="214"/>
      <c r="EC93" s="214"/>
      <c r="ED93" s="214"/>
      <c r="EE93" s="214"/>
      <c r="EF93" s="214"/>
      <c r="EG93" s="214"/>
      <c r="EH93" s="214"/>
      <c r="EI93" s="214"/>
      <c r="EJ93" s="214"/>
      <c r="EK93" s="214"/>
      <c r="EL93" s="214"/>
      <c r="EM93" s="214"/>
      <c r="EN93" s="214"/>
      <c r="EO93" s="214"/>
      <c r="EP93" s="214"/>
      <c r="EQ93" s="214"/>
      <c r="ER93" s="214"/>
      <c r="ES93" s="214"/>
      <c r="ET93" s="214"/>
      <c r="EU93" s="214"/>
      <c r="EV93" s="214"/>
      <c r="EW93" s="214"/>
      <c r="EX93" s="214"/>
      <c r="EY93" s="214"/>
      <c r="EZ93" s="214"/>
      <c r="FA93" s="214"/>
      <c r="FB93" s="214"/>
      <c r="FC93" s="214"/>
      <c r="FD93" s="214"/>
      <c r="FE93" s="214"/>
      <c r="FF93" s="214"/>
      <c r="FG93" s="214"/>
      <c r="FH93" s="214"/>
      <c r="FI93" s="214"/>
      <c r="FJ93" s="214"/>
      <c r="FK93" s="214"/>
      <c r="FL93" s="214"/>
      <c r="FM93" s="214"/>
      <c r="FN93" s="214"/>
      <c r="FO93" s="214"/>
      <c r="FP93" s="214"/>
      <c r="FQ93" s="214"/>
      <c r="FR93" s="214"/>
      <c r="FS93" s="214"/>
      <c r="FT93" s="214"/>
      <c r="FU93" s="214"/>
      <c r="FV93" s="214"/>
      <c r="FW93" s="214"/>
      <c r="FX93" s="214"/>
      <c r="FY93" s="214"/>
      <c r="FZ93" s="214"/>
      <c r="GA93" s="214"/>
      <c r="GB93" s="214"/>
      <c r="GC93" s="214"/>
      <c r="GD93" s="214"/>
      <c r="GE93" s="214"/>
      <c r="GF93" s="214"/>
      <c r="GG93" s="214"/>
      <c r="GH93" s="214"/>
      <c r="GI93" s="214"/>
      <c r="GJ93" s="214"/>
      <c r="GK93" s="214"/>
      <c r="GL93" s="214"/>
      <c r="GM93" s="214"/>
      <c r="GN93" s="214"/>
      <c r="GO93" s="214"/>
      <c r="GP93" s="214"/>
      <c r="GQ93" s="214"/>
      <c r="GR93" s="214"/>
      <c r="GS93" s="214"/>
      <c r="GT93" s="214"/>
      <c r="GU93" s="214"/>
      <c r="GV93" s="214"/>
      <c r="GW93" s="214"/>
      <c r="GX93" s="214"/>
      <c r="GY93" s="214"/>
      <c r="GZ93" s="214"/>
      <c r="HA93" s="214"/>
      <c r="HB93" s="214"/>
      <c r="HC93" s="214"/>
      <c r="HD93" s="214"/>
      <c r="HE93" s="214"/>
      <c r="HF93" s="214"/>
      <c r="HG93" s="214"/>
      <c r="HH93" s="214"/>
      <c r="HI93" s="214"/>
      <c r="HJ93" s="214"/>
      <c r="HK93" s="214"/>
      <c r="HL93" s="214"/>
      <c r="HM93" s="214"/>
      <c r="HN93" s="214"/>
      <c r="HO93" s="214"/>
      <c r="HP93" s="214"/>
      <c r="HQ93" s="214"/>
      <c r="HR93" s="214"/>
      <c r="HS93" s="214"/>
      <c r="HT93" s="214"/>
      <c r="HU93" s="214"/>
      <c r="HV93" s="214"/>
      <c r="HW93" s="214"/>
      <c r="HX93" s="214"/>
      <c r="HY93" s="214"/>
      <c r="HZ93" s="214"/>
      <c r="IA93" s="214"/>
      <c r="IB93" s="214"/>
      <c r="IC93" s="214"/>
      <c r="ID93" s="214"/>
      <c r="IE93" s="214"/>
      <c r="IF93" s="214"/>
      <c r="IG93" s="214"/>
      <c r="IH93" s="214"/>
      <c r="II93" s="214"/>
      <c r="IJ93" s="214"/>
      <c r="IK93" s="214"/>
      <c r="IL93" s="214"/>
      <c r="IM93" s="214"/>
      <c r="IN93" s="214"/>
      <c r="IO93" s="214"/>
      <c r="IP93" s="214"/>
      <c r="IQ93" s="214"/>
      <c r="IR93" s="214"/>
      <c r="IS93" s="214"/>
      <c r="IT93" s="214"/>
      <c r="IU93" s="214"/>
      <c r="IV93" s="214"/>
      <c r="IW93" s="214"/>
      <c r="IX93" s="214"/>
      <c r="IY93" s="214"/>
      <c r="IZ93" s="214"/>
      <c r="JA93" s="214"/>
      <c r="JB93" s="214"/>
      <c r="JC93" s="214"/>
      <c r="JD93" s="214"/>
      <c r="JE93" s="214"/>
      <c r="JF93" s="214"/>
      <c r="JG93" s="214"/>
      <c r="JH93" s="214"/>
      <c r="JI93" s="214"/>
    </row>
    <row r="94" spans="1:269">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c r="CG94" s="214"/>
      <c r="CH94" s="214"/>
      <c r="CI94" s="214"/>
      <c r="CJ94" s="214"/>
      <c r="CK94" s="214"/>
      <c r="CL94" s="214"/>
      <c r="CM94" s="214"/>
      <c r="CN94" s="214"/>
      <c r="CO94" s="214"/>
      <c r="CP94" s="214"/>
      <c r="CQ94" s="214"/>
      <c r="CR94" s="214"/>
      <c r="CS94" s="214"/>
      <c r="CT94" s="214"/>
      <c r="CU94" s="214"/>
      <c r="CV94" s="214"/>
      <c r="CW94" s="214"/>
      <c r="CX94" s="214"/>
      <c r="CY94" s="214"/>
      <c r="CZ94" s="214"/>
      <c r="DA94" s="214"/>
      <c r="DB94" s="214"/>
      <c r="DC94" s="214"/>
      <c r="DD94" s="214"/>
      <c r="DE94" s="214"/>
      <c r="DF94" s="214"/>
      <c r="DG94" s="214"/>
      <c r="DH94" s="214"/>
      <c r="DI94" s="214"/>
      <c r="DJ94" s="214"/>
      <c r="DK94" s="214"/>
      <c r="DL94" s="214"/>
      <c r="DM94" s="214"/>
      <c r="DN94" s="214"/>
      <c r="DO94" s="214"/>
      <c r="DP94" s="214"/>
      <c r="DQ94" s="214"/>
      <c r="DR94" s="214"/>
      <c r="DS94" s="214"/>
      <c r="DT94" s="214"/>
      <c r="DU94" s="214"/>
      <c r="DV94" s="214"/>
      <c r="DW94" s="214"/>
      <c r="DX94" s="214"/>
      <c r="DY94" s="214"/>
      <c r="DZ94" s="214"/>
      <c r="EA94" s="214"/>
      <c r="EB94" s="214"/>
      <c r="EC94" s="214"/>
      <c r="ED94" s="214"/>
      <c r="EE94" s="214"/>
      <c r="EF94" s="214"/>
      <c r="EG94" s="214"/>
      <c r="EH94" s="214"/>
      <c r="EI94" s="214"/>
      <c r="EJ94" s="214"/>
      <c r="EK94" s="214"/>
      <c r="EL94" s="214"/>
      <c r="EM94" s="214"/>
      <c r="EN94" s="214"/>
      <c r="EO94" s="214"/>
      <c r="EP94" s="214"/>
      <c r="EQ94" s="214"/>
      <c r="ER94" s="214"/>
      <c r="ES94" s="214"/>
      <c r="ET94" s="214"/>
      <c r="EU94" s="214"/>
      <c r="EV94" s="214"/>
      <c r="EW94" s="214"/>
      <c r="EX94" s="214"/>
      <c r="EY94" s="214"/>
      <c r="EZ94" s="214"/>
      <c r="FA94" s="214"/>
      <c r="FB94" s="214"/>
      <c r="FC94" s="214"/>
      <c r="FD94" s="214"/>
      <c r="FE94" s="214"/>
      <c r="FF94" s="214"/>
      <c r="FG94" s="214"/>
      <c r="FH94" s="214"/>
      <c r="FI94" s="214"/>
      <c r="FJ94" s="214"/>
      <c r="FK94" s="214"/>
      <c r="FL94" s="214"/>
      <c r="FM94" s="214"/>
      <c r="FN94" s="214"/>
      <c r="FO94" s="214"/>
      <c r="FP94" s="214"/>
      <c r="FQ94" s="214"/>
      <c r="FR94" s="214"/>
      <c r="FS94" s="214"/>
      <c r="FT94" s="214"/>
      <c r="FU94" s="214"/>
      <c r="FV94" s="214"/>
      <c r="FW94" s="214"/>
      <c r="FX94" s="214"/>
      <c r="FY94" s="214"/>
      <c r="FZ94" s="214"/>
      <c r="GA94" s="214"/>
      <c r="GB94" s="214"/>
      <c r="GC94" s="214"/>
      <c r="GD94" s="214"/>
      <c r="GE94" s="214"/>
      <c r="GF94" s="214"/>
      <c r="GG94" s="214"/>
      <c r="GH94" s="214"/>
      <c r="GI94" s="214"/>
      <c r="GJ94" s="214"/>
      <c r="GK94" s="214"/>
      <c r="GL94" s="214"/>
      <c r="GM94" s="214"/>
      <c r="GN94" s="214"/>
      <c r="GO94" s="214"/>
      <c r="GP94" s="214"/>
      <c r="GQ94" s="214"/>
      <c r="GR94" s="214"/>
      <c r="GS94" s="214"/>
      <c r="GT94" s="214"/>
      <c r="GU94" s="214"/>
      <c r="GV94" s="214"/>
      <c r="GW94" s="214"/>
      <c r="GX94" s="214"/>
      <c r="GY94" s="214"/>
      <c r="GZ94" s="214"/>
      <c r="HA94" s="214"/>
      <c r="HB94" s="214"/>
      <c r="HC94" s="214"/>
      <c r="HD94" s="214"/>
      <c r="HE94" s="214"/>
      <c r="HF94" s="214"/>
      <c r="HG94" s="214"/>
      <c r="HH94" s="214"/>
      <c r="HI94" s="214"/>
      <c r="HJ94" s="214"/>
      <c r="HK94" s="214"/>
      <c r="HL94" s="214"/>
      <c r="HM94" s="214"/>
      <c r="HN94" s="214"/>
      <c r="HO94" s="214"/>
      <c r="HP94" s="214"/>
      <c r="HQ94" s="214"/>
      <c r="HR94" s="214"/>
      <c r="HS94" s="214"/>
      <c r="HT94" s="214"/>
      <c r="HU94" s="214"/>
      <c r="HV94" s="214"/>
      <c r="HW94" s="214"/>
      <c r="HX94" s="214"/>
      <c r="HY94" s="214"/>
      <c r="HZ94" s="214"/>
      <c r="IA94" s="214"/>
      <c r="IB94" s="214"/>
      <c r="IC94" s="214"/>
      <c r="ID94" s="214"/>
      <c r="IE94" s="214"/>
      <c r="IF94" s="214"/>
      <c r="IG94" s="214"/>
      <c r="IH94" s="214"/>
      <c r="II94" s="214"/>
      <c r="IJ94" s="214"/>
      <c r="IK94" s="214"/>
      <c r="IL94" s="214"/>
      <c r="IM94" s="214"/>
      <c r="IN94" s="214"/>
      <c r="IO94" s="214"/>
      <c r="IP94" s="214"/>
      <c r="IQ94" s="214"/>
      <c r="IR94" s="214"/>
      <c r="IS94" s="214"/>
      <c r="IT94" s="214"/>
      <c r="IU94" s="214"/>
      <c r="IV94" s="214"/>
      <c r="IW94" s="214"/>
      <c r="IX94" s="214"/>
      <c r="IY94" s="214"/>
      <c r="IZ94" s="214"/>
      <c r="JA94" s="214"/>
      <c r="JB94" s="214"/>
      <c r="JC94" s="214"/>
      <c r="JD94" s="214"/>
      <c r="JE94" s="214"/>
      <c r="JF94" s="214"/>
      <c r="JG94" s="214"/>
      <c r="JH94" s="214"/>
      <c r="JI94" s="214"/>
    </row>
    <row r="95" spans="1:269">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c r="CG95" s="214"/>
      <c r="CH95" s="214"/>
      <c r="CI95" s="214"/>
      <c r="CJ95" s="214"/>
      <c r="CK95" s="214"/>
      <c r="CL95" s="214"/>
      <c r="CM95" s="214"/>
      <c r="CN95" s="214"/>
      <c r="CO95" s="214"/>
      <c r="CP95" s="214"/>
      <c r="CQ95" s="214"/>
      <c r="CR95" s="214"/>
      <c r="CS95" s="214"/>
      <c r="CT95" s="214"/>
      <c r="CU95" s="214"/>
      <c r="CV95" s="214"/>
      <c r="CW95" s="214"/>
      <c r="CX95" s="214"/>
      <c r="CY95" s="214"/>
      <c r="CZ95" s="214"/>
      <c r="DA95" s="214"/>
      <c r="DB95" s="214"/>
      <c r="DC95" s="214"/>
      <c r="DD95" s="214"/>
      <c r="DE95" s="214"/>
      <c r="DF95" s="214"/>
      <c r="DG95" s="214"/>
      <c r="DH95" s="214"/>
      <c r="DI95" s="214"/>
      <c r="DJ95" s="214"/>
      <c r="DK95" s="214"/>
      <c r="DL95" s="214"/>
      <c r="DM95" s="214"/>
      <c r="DN95" s="214"/>
      <c r="DO95" s="214"/>
      <c r="DP95" s="214"/>
      <c r="DQ95" s="214"/>
      <c r="DR95" s="214"/>
      <c r="DS95" s="214"/>
      <c r="DT95" s="214"/>
      <c r="DU95" s="214"/>
      <c r="DV95" s="214"/>
      <c r="DW95" s="214"/>
      <c r="DX95" s="214"/>
      <c r="DY95" s="214"/>
      <c r="DZ95" s="214"/>
      <c r="EA95" s="214"/>
      <c r="EB95" s="214"/>
      <c r="EC95" s="214"/>
      <c r="ED95" s="214"/>
      <c r="EE95" s="214"/>
      <c r="EF95" s="214"/>
      <c r="EG95" s="214"/>
      <c r="EH95" s="214"/>
      <c r="EI95" s="214"/>
      <c r="EJ95" s="214"/>
      <c r="EK95" s="214"/>
      <c r="EL95" s="214"/>
      <c r="EM95" s="214"/>
      <c r="EN95" s="214"/>
      <c r="EO95" s="214"/>
      <c r="EP95" s="214"/>
      <c r="EQ95" s="214"/>
      <c r="ER95" s="214"/>
      <c r="ES95" s="214"/>
      <c r="ET95" s="214"/>
      <c r="EU95" s="214"/>
      <c r="EV95" s="214"/>
      <c r="EW95" s="214"/>
      <c r="EX95" s="214"/>
      <c r="EY95" s="214"/>
      <c r="EZ95" s="214"/>
      <c r="FA95" s="214"/>
      <c r="FB95" s="214"/>
      <c r="FC95" s="214"/>
      <c r="FD95" s="214"/>
      <c r="FE95" s="214"/>
      <c r="FF95" s="214"/>
      <c r="FG95" s="214"/>
      <c r="FH95" s="214"/>
      <c r="FI95" s="214"/>
      <c r="FJ95" s="214"/>
      <c r="FK95" s="214"/>
      <c r="FL95" s="214"/>
      <c r="FM95" s="214"/>
      <c r="FN95" s="214"/>
      <c r="FO95" s="214"/>
      <c r="FP95" s="214"/>
      <c r="FQ95" s="214"/>
      <c r="FR95" s="214"/>
      <c r="FS95" s="214"/>
      <c r="FT95" s="214"/>
      <c r="FU95" s="214"/>
      <c r="FV95" s="214"/>
      <c r="FW95" s="214"/>
      <c r="FX95" s="214"/>
      <c r="FY95" s="214"/>
      <c r="FZ95" s="214"/>
      <c r="GA95" s="214"/>
      <c r="GB95" s="214"/>
      <c r="GC95" s="214"/>
      <c r="GD95" s="214"/>
      <c r="GE95" s="214"/>
      <c r="GF95" s="214"/>
      <c r="GG95" s="214"/>
      <c r="GH95" s="214"/>
      <c r="GI95" s="214"/>
      <c r="GJ95" s="214"/>
      <c r="GK95" s="214"/>
      <c r="GL95" s="214"/>
      <c r="GM95" s="214"/>
      <c r="GN95" s="214"/>
      <c r="GO95" s="214"/>
      <c r="GP95" s="214"/>
      <c r="GQ95" s="214"/>
      <c r="GR95" s="214"/>
      <c r="GS95" s="214"/>
      <c r="GT95" s="214"/>
      <c r="GU95" s="214"/>
      <c r="GV95" s="214"/>
      <c r="GW95" s="214"/>
      <c r="GX95" s="214"/>
      <c r="GY95" s="214"/>
      <c r="GZ95" s="214"/>
      <c r="HA95" s="214"/>
      <c r="HB95" s="214"/>
      <c r="HC95" s="214"/>
      <c r="HD95" s="214"/>
      <c r="HE95" s="214"/>
      <c r="HF95" s="214"/>
      <c r="HG95" s="214"/>
      <c r="HH95" s="214"/>
      <c r="HI95" s="214"/>
      <c r="HJ95" s="214"/>
      <c r="HK95" s="214"/>
      <c r="HL95" s="214"/>
      <c r="HM95" s="214"/>
      <c r="HN95" s="214"/>
      <c r="HO95" s="214"/>
      <c r="HP95" s="214"/>
      <c r="HQ95" s="214"/>
      <c r="HR95" s="214"/>
      <c r="HS95" s="214"/>
      <c r="HT95" s="214"/>
      <c r="HU95" s="214"/>
      <c r="HV95" s="214"/>
      <c r="HW95" s="214"/>
      <c r="HX95" s="214"/>
      <c r="HY95" s="214"/>
      <c r="HZ95" s="214"/>
      <c r="IA95" s="214"/>
      <c r="IB95" s="214"/>
      <c r="IC95" s="214"/>
      <c r="ID95" s="214"/>
      <c r="IE95" s="214"/>
      <c r="IF95" s="214"/>
      <c r="IG95" s="214"/>
      <c r="IH95" s="214"/>
      <c r="II95" s="214"/>
      <c r="IJ95" s="214"/>
      <c r="IK95" s="214"/>
      <c r="IL95" s="214"/>
      <c r="IM95" s="214"/>
      <c r="IN95" s="214"/>
      <c r="IO95" s="214"/>
      <c r="IP95" s="214"/>
      <c r="IQ95" s="214"/>
      <c r="IR95" s="214"/>
      <c r="IS95" s="214"/>
      <c r="IT95" s="214"/>
      <c r="IU95" s="214"/>
      <c r="IV95" s="214"/>
      <c r="IW95" s="214"/>
      <c r="IX95" s="214"/>
      <c r="IY95" s="214"/>
      <c r="IZ95" s="214"/>
      <c r="JA95" s="214"/>
      <c r="JB95" s="214"/>
      <c r="JC95" s="214"/>
      <c r="JD95" s="214"/>
      <c r="JE95" s="214"/>
      <c r="JF95" s="214"/>
      <c r="JG95" s="214"/>
      <c r="JH95" s="214"/>
      <c r="JI95" s="214"/>
    </row>
    <row r="96" spans="1:269">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c r="CG96" s="214"/>
      <c r="CH96" s="214"/>
      <c r="CI96" s="214"/>
      <c r="CJ96" s="214"/>
      <c r="CK96" s="214"/>
      <c r="CL96" s="214"/>
      <c r="CM96" s="214"/>
      <c r="CN96" s="214"/>
      <c r="CO96" s="214"/>
      <c r="CP96" s="214"/>
      <c r="CQ96" s="214"/>
      <c r="CR96" s="214"/>
      <c r="CS96" s="214"/>
      <c r="CT96" s="214"/>
      <c r="CU96" s="214"/>
      <c r="CV96" s="214"/>
      <c r="CW96" s="214"/>
      <c r="CX96" s="214"/>
      <c r="CY96" s="214"/>
      <c r="CZ96" s="214"/>
      <c r="DA96" s="214"/>
      <c r="DB96" s="214"/>
      <c r="DC96" s="214"/>
      <c r="DD96" s="214"/>
      <c r="DE96" s="214"/>
      <c r="DF96" s="214"/>
      <c r="DG96" s="214"/>
      <c r="DH96" s="214"/>
      <c r="DI96" s="214"/>
      <c r="DJ96" s="214"/>
      <c r="DK96" s="214"/>
      <c r="DL96" s="214"/>
      <c r="DM96" s="214"/>
      <c r="DN96" s="214"/>
      <c r="DO96" s="214"/>
      <c r="DP96" s="214"/>
      <c r="DQ96" s="214"/>
      <c r="DR96" s="214"/>
      <c r="DS96" s="214"/>
      <c r="DT96" s="214"/>
      <c r="DU96" s="214"/>
      <c r="DV96" s="214"/>
      <c r="DW96" s="214"/>
      <c r="DX96" s="214"/>
      <c r="DY96" s="214"/>
      <c r="DZ96" s="214"/>
      <c r="EA96" s="214"/>
      <c r="EB96" s="214"/>
      <c r="EC96" s="214"/>
      <c r="ED96" s="214"/>
      <c r="EE96" s="214"/>
      <c r="EF96" s="214"/>
      <c r="EG96" s="214"/>
      <c r="EH96" s="214"/>
      <c r="EI96" s="214"/>
      <c r="EJ96" s="214"/>
      <c r="EK96" s="214"/>
      <c r="EL96" s="214"/>
      <c r="EM96" s="214"/>
      <c r="EN96" s="214"/>
      <c r="EO96" s="214"/>
      <c r="EP96" s="214"/>
      <c r="EQ96" s="214"/>
      <c r="ER96" s="214"/>
      <c r="ES96" s="214"/>
      <c r="ET96" s="214"/>
      <c r="EU96" s="214"/>
      <c r="EV96" s="214"/>
      <c r="EW96" s="214"/>
      <c r="EX96" s="214"/>
      <c r="EY96" s="214"/>
      <c r="EZ96" s="214"/>
      <c r="FA96" s="214"/>
      <c r="FB96" s="214"/>
      <c r="FC96" s="214"/>
      <c r="FD96" s="214"/>
      <c r="FE96" s="214"/>
      <c r="FF96" s="214"/>
      <c r="FG96" s="214"/>
      <c r="FH96" s="214"/>
      <c r="FI96" s="214"/>
      <c r="FJ96" s="214"/>
      <c r="FK96" s="214"/>
      <c r="FL96" s="214"/>
      <c r="FM96" s="214"/>
      <c r="FN96" s="214"/>
      <c r="FO96" s="214"/>
      <c r="FP96" s="214"/>
      <c r="FQ96" s="214"/>
      <c r="FR96" s="214"/>
      <c r="FS96" s="214"/>
      <c r="FT96" s="214"/>
      <c r="FU96" s="214"/>
      <c r="FV96" s="214"/>
      <c r="FW96" s="214"/>
      <c r="FX96" s="214"/>
      <c r="FY96" s="214"/>
      <c r="FZ96" s="214"/>
      <c r="GA96" s="214"/>
      <c r="GB96" s="214"/>
      <c r="GC96" s="214"/>
      <c r="GD96" s="214"/>
      <c r="GE96" s="214"/>
      <c r="GF96" s="214"/>
      <c r="GG96" s="214"/>
      <c r="GH96" s="214"/>
      <c r="GI96" s="214"/>
      <c r="GJ96" s="214"/>
      <c r="GK96" s="214"/>
      <c r="GL96" s="214"/>
      <c r="GM96" s="214"/>
      <c r="GN96" s="214"/>
      <c r="GO96" s="214"/>
      <c r="GP96" s="214"/>
      <c r="GQ96" s="214"/>
      <c r="GR96" s="214"/>
      <c r="GS96" s="214"/>
      <c r="GT96" s="214"/>
      <c r="GU96" s="214"/>
      <c r="GV96" s="214"/>
      <c r="GW96" s="214"/>
      <c r="GX96" s="214"/>
      <c r="GY96" s="214"/>
      <c r="GZ96" s="214"/>
      <c r="HA96" s="214"/>
      <c r="HB96" s="214"/>
      <c r="HC96" s="214"/>
      <c r="HD96" s="214"/>
      <c r="HE96" s="214"/>
      <c r="HF96" s="214"/>
      <c r="HG96" s="214"/>
      <c r="HH96" s="214"/>
      <c r="HI96" s="214"/>
      <c r="HJ96" s="214"/>
      <c r="HK96" s="214"/>
      <c r="HL96" s="214"/>
      <c r="HM96" s="214"/>
      <c r="HN96" s="214"/>
      <c r="HO96" s="214"/>
      <c r="HP96" s="214"/>
      <c r="HQ96" s="214"/>
      <c r="HR96" s="214"/>
      <c r="HS96" s="214"/>
      <c r="HT96" s="214"/>
      <c r="HU96" s="214"/>
      <c r="HV96" s="214"/>
      <c r="HW96" s="214"/>
      <c r="HX96" s="214"/>
      <c r="HY96" s="214"/>
      <c r="HZ96" s="214"/>
      <c r="IA96" s="214"/>
      <c r="IB96" s="214"/>
      <c r="IC96" s="214"/>
      <c r="ID96" s="214"/>
      <c r="IE96" s="214"/>
      <c r="IF96" s="214"/>
      <c r="IG96" s="214"/>
      <c r="IH96" s="214"/>
      <c r="II96" s="214"/>
      <c r="IJ96" s="214"/>
      <c r="IK96" s="214"/>
      <c r="IL96" s="214"/>
      <c r="IM96" s="214"/>
      <c r="IN96" s="214"/>
      <c r="IO96" s="214"/>
      <c r="IP96" s="214"/>
      <c r="IQ96" s="214"/>
      <c r="IR96" s="214"/>
      <c r="IS96" s="214"/>
      <c r="IT96" s="214"/>
      <c r="IU96" s="214"/>
      <c r="IV96" s="214"/>
      <c r="IW96" s="214"/>
      <c r="IX96" s="214"/>
      <c r="IY96" s="214"/>
      <c r="IZ96" s="214"/>
      <c r="JA96" s="214"/>
      <c r="JB96" s="214"/>
      <c r="JC96" s="214"/>
      <c r="JD96" s="214"/>
      <c r="JE96" s="214"/>
      <c r="JF96" s="214"/>
      <c r="JG96" s="214"/>
      <c r="JH96" s="214"/>
      <c r="JI96" s="214"/>
    </row>
    <row r="97" spans="1:269">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c r="CG97" s="214"/>
      <c r="CH97" s="214"/>
      <c r="CI97" s="214"/>
      <c r="CJ97" s="214"/>
      <c r="CK97" s="214"/>
      <c r="CL97" s="214"/>
      <c r="CM97" s="214"/>
      <c r="CN97" s="214"/>
      <c r="CO97" s="214"/>
      <c r="CP97" s="214"/>
      <c r="CQ97" s="214"/>
      <c r="CR97" s="214"/>
      <c r="CS97" s="214"/>
      <c r="CT97" s="214"/>
      <c r="CU97" s="214"/>
      <c r="CV97" s="214"/>
      <c r="CW97" s="214"/>
      <c r="CX97" s="214"/>
      <c r="CY97" s="214"/>
      <c r="CZ97" s="214"/>
      <c r="DA97" s="214"/>
      <c r="DB97" s="214"/>
      <c r="DC97" s="214"/>
      <c r="DD97" s="214"/>
      <c r="DE97" s="214"/>
      <c r="DF97" s="214"/>
      <c r="DG97" s="214"/>
      <c r="DH97" s="214"/>
      <c r="DI97" s="214"/>
      <c r="DJ97" s="214"/>
      <c r="DK97" s="214"/>
      <c r="DL97" s="214"/>
      <c r="DM97" s="214"/>
      <c r="DN97" s="214"/>
      <c r="DO97" s="214"/>
      <c r="DP97" s="214"/>
      <c r="DQ97" s="214"/>
      <c r="DR97" s="214"/>
      <c r="DS97" s="214"/>
      <c r="DT97" s="214"/>
      <c r="DU97" s="214"/>
      <c r="DV97" s="214"/>
      <c r="DW97" s="214"/>
      <c r="DX97" s="214"/>
      <c r="DY97" s="214"/>
      <c r="DZ97" s="214"/>
      <c r="EA97" s="214"/>
      <c r="EB97" s="214"/>
      <c r="EC97" s="214"/>
      <c r="ED97" s="214"/>
      <c r="EE97" s="214"/>
      <c r="EF97" s="214"/>
      <c r="EG97" s="214"/>
      <c r="EH97" s="214"/>
      <c r="EI97" s="214"/>
      <c r="EJ97" s="214"/>
      <c r="EK97" s="214"/>
      <c r="EL97" s="214"/>
      <c r="EM97" s="214"/>
      <c r="EN97" s="214"/>
      <c r="EO97" s="214"/>
      <c r="EP97" s="214"/>
      <c r="EQ97" s="214"/>
      <c r="ER97" s="214"/>
      <c r="ES97" s="214"/>
      <c r="ET97" s="214"/>
      <c r="EU97" s="214"/>
      <c r="EV97" s="214"/>
      <c r="EW97" s="214"/>
      <c r="EX97" s="214"/>
      <c r="EY97" s="214"/>
      <c r="EZ97" s="214"/>
      <c r="FA97" s="214"/>
      <c r="FB97" s="214"/>
      <c r="FC97" s="214"/>
      <c r="FD97" s="214"/>
      <c r="FE97" s="214"/>
      <c r="FF97" s="214"/>
      <c r="FG97" s="214"/>
      <c r="FH97" s="214"/>
      <c r="FI97" s="214"/>
      <c r="FJ97" s="214"/>
      <c r="FK97" s="214"/>
      <c r="FL97" s="214"/>
      <c r="FM97" s="214"/>
      <c r="FN97" s="214"/>
      <c r="FO97" s="214"/>
      <c r="FP97" s="214"/>
      <c r="FQ97" s="214"/>
      <c r="FR97" s="214"/>
      <c r="FS97" s="214"/>
      <c r="FT97" s="214"/>
      <c r="FU97" s="214"/>
      <c r="FV97" s="214"/>
      <c r="FW97" s="214"/>
      <c r="FX97" s="214"/>
      <c r="FY97" s="214"/>
      <c r="FZ97" s="214"/>
      <c r="GA97" s="214"/>
      <c r="GB97" s="214"/>
      <c r="GC97" s="214"/>
      <c r="GD97" s="214"/>
      <c r="GE97" s="214"/>
      <c r="GF97" s="214"/>
      <c r="GG97" s="214"/>
      <c r="GH97" s="214"/>
      <c r="GI97" s="214"/>
      <c r="GJ97" s="214"/>
      <c r="GK97" s="214"/>
      <c r="GL97" s="214"/>
      <c r="GM97" s="214"/>
      <c r="GN97" s="214"/>
      <c r="GO97" s="214"/>
      <c r="GP97" s="214"/>
      <c r="GQ97" s="214"/>
      <c r="GR97" s="214"/>
      <c r="GS97" s="214"/>
      <c r="GT97" s="214"/>
      <c r="GU97" s="214"/>
      <c r="GV97" s="214"/>
      <c r="GW97" s="214"/>
      <c r="GX97" s="214"/>
      <c r="GY97" s="214"/>
      <c r="GZ97" s="214"/>
      <c r="HA97" s="214"/>
      <c r="HB97" s="214"/>
      <c r="HC97" s="214"/>
      <c r="HD97" s="214"/>
      <c r="HE97" s="214"/>
      <c r="HF97" s="214"/>
      <c r="HG97" s="214"/>
      <c r="HH97" s="214"/>
      <c r="HI97" s="214"/>
      <c r="HJ97" s="214"/>
      <c r="HK97" s="214"/>
      <c r="HL97" s="214"/>
      <c r="HM97" s="214"/>
      <c r="HN97" s="214"/>
      <c r="HO97" s="214"/>
      <c r="HP97" s="214"/>
      <c r="HQ97" s="214"/>
      <c r="HR97" s="214"/>
      <c r="HS97" s="214"/>
      <c r="HT97" s="214"/>
      <c r="HU97" s="214"/>
      <c r="HV97" s="214"/>
      <c r="HW97" s="214"/>
      <c r="HX97" s="214"/>
      <c r="HY97" s="214"/>
      <c r="HZ97" s="214"/>
      <c r="IA97" s="214"/>
      <c r="IB97" s="214"/>
      <c r="IC97" s="214"/>
      <c r="ID97" s="214"/>
      <c r="IE97" s="214"/>
      <c r="IF97" s="214"/>
      <c r="IG97" s="214"/>
      <c r="IH97" s="214"/>
      <c r="II97" s="214"/>
      <c r="IJ97" s="214"/>
      <c r="IK97" s="214"/>
      <c r="IL97" s="214"/>
      <c r="IM97" s="214"/>
      <c r="IN97" s="214"/>
      <c r="IO97" s="214"/>
      <c r="IP97" s="214"/>
      <c r="IQ97" s="214"/>
      <c r="IR97" s="214"/>
      <c r="IS97" s="214"/>
      <c r="IT97" s="214"/>
      <c r="IU97" s="214"/>
      <c r="IV97" s="214"/>
      <c r="IW97" s="214"/>
      <c r="IX97" s="214"/>
      <c r="IY97" s="214"/>
      <c r="IZ97" s="214"/>
      <c r="JA97" s="214"/>
      <c r="JB97" s="214"/>
      <c r="JC97" s="214"/>
      <c r="JD97" s="214"/>
      <c r="JE97" s="214"/>
      <c r="JF97" s="214"/>
      <c r="JG97" s="214"/>
      <c r="JH97" s="214"/>
      <c r="JI97" s="214"/>
    </row>
    <row r="98" spans="1:269">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c r="CG98" s="214"/>
      <c r="CH98" s="214"/>
      <c r="CI98" s="214"/>
      <c r="CJ98" s="214"/>
      <c r="CK98" s="214"/>
      <c r="CL98" s="214"/>
      <c r="CM98" s="214"/>
      <c r="CN98" s="214"/>
      <c r="CO98" s="214"/>
      <c r="CP98" s="214"/>
      <c r="CQ98" s="214"/>
      <c r="CR98" s="214"/>
      <c r="CS98" s="214"/>
      <c r="CT98" s="214"/>
      <c r="CU98" s="214"/>
      <c r="CV98" s="214"/>
      <c r="CW98" s="214"/>
      <c r="CX98" s="214"/>
      <c r="CY98" s="214"/>
      <c r="CZ98" s="214"/>
      <c r="DA98" s="214"/>
      <c r="DB98" s="214"/>
      <c r="DC98" s="214"/>
      <c r="DD98" s="214"/>
      <c r="DE98" s="214"/>
      <c r="DF98" s="214"/>
      <c r="DG98" s="214"/>
      <c r="DH98" s="214"/>
      <c r="DI98" s="214"/>
      <c r="DJ98" s="214"/>
      <c r="DK98" s="214"/>
      <c r="DL98" s="214"/>
      <c r="DM98" s="214"/>
      <c r="DN98" s="214"/>
      <c r="DO98" s="214"/>
      <c r="DP98" s="214"/>
      <c r="DQ98" s="214"/>
      <c r="DR98" s="214"/>
      <c r="DS98" s="214"/>
      <c r="DT98" s="214"/>
      <c r="DU98" s="214"/>
      <c r="DV98" s="214"/>
      <c r="DW98" s="214"/>
      <c r="DX98" s="214"/>
      <c r="DY98" s="214"/>
      <c r="DZ98" s="214"/>
      <c r="EA98" s="214"/>
      <c r="EB98" s="214"/>
      <c r="EC98" s="214"/>
      <c r="ED98" s="214"/>
      <c r="EE98" s="214"/>
      <c r="EF98" s="214"/>
      <c r="EG98" s="214"/>
      <c r="EH98" s="214"/>
      <c r="EI98" s="214"/>
      <c r="EJ98" s="214"/>
      <c r="EK98" s="214"/>
      <c r="EL98" s="214"/>
      <c r="EM98" s="214"/>
      <c r="EN98" s="214"/>
      <c r="EO98" s="214"/>
      <c r="EP98" s="214"/>
      <c r="EQ98" s="214"/>
      <c r="ER98" s="214"/>
      <c r="ES98" s="214"/>
      <c r="ET98" s="214"/>
      <c r="EU98" s="214"/>
      <c r="EV98" s="214"/>
      <c r="EW98" s="214"/>
      <c r="EX98" s="214"/>
      <c r="EY98" s="214"/>
      <c r="EZ98" s="214"/>
      <c r="FA98" s="214"/>
      <c r="FB98" s="214"/>
      <c r="FC98" s="214"/>
      <c r="FD98" s="214"/>
      <c r="FE98" s="214"/>
      <c r="FF98" s="214"/>
      <c r="FG98" s="214"/>
      <c r="FH98" s="214"/>
      <c r="FI98" s="214"/>
      <c r="FJ98" s="214"/>
      <c r="FK98" s="214"/>
      <c r="FL98" s="214"/>
      <c r="FM98" s="214"/>
      <c r="FN98" s="214"/>
      <c r="FO98" s="214"/>
      <c r="FP98" s="214"/>
      <c r="FQ98" s="214"/>
      <c r="FR98" s="214"/>
      <c r="FS98" s="214"/>
      <c r="FT98" s="214"/>
      <c r="FU98" s="214"/>
      <c r="FV98" s="214"/>
      <c r="FW98" s="214"/>
      <c r="FX98" s="214"/>
      <c r="FY98" s="214"/>
      <c r="FZ98" s="214"/>
      <c r="GA98" s="214"/>
      <c r="GB98" s="214"/>
      <c r="GC98" s="214"/>
      <c r="GD98" s="214"/>
      <c r="GE98" s="214"/>
      <c r="GF98" s="214"/>
      <c r="GG98" s="214"/>
      <c r="GH98" s="214"/>
      <c r="GI98" s="214"/>
      <c r="GJ98" s="214"/>
      <c r="GK98" s="214"/>
      <c r="GL98" s="214"/>
      <c r="GM98" s="214"/>
      <c r="GN98" s="214"/>
      <c r="GO98" s="214"/>
      <c r="GP98" s="214"/>
      <c r="GQ98" s="214"/>
      <c r="GR98" s="214"/>
      <c r="GS98" s="214"/>
      <c r="GT98" s="214"/>
      <c r="GU98" s="214"/>
      <c r="GV98" s="214"/>
      <c r="GW98" s="214"/>
      <c r="GX98" s="214"/>
      <c r="GY98" s="214"/>
      <c r="GZ98" s="214"/>
      <c r="HA98" s="214"/>
      <c r="HB98" s="214"/>
      <c r="HC98" s="214"/>
      <c r="HD98" s="214"/>
      <c r="HE98" s="214"/>
      <c r="HF98" s="214"/>
      <c r="HG98" s="214"/>
      <c r="HH98" s="214"/>
      <c r="HI98" s="214"/>
      <c r="HJ98" s="214"/>
      <c r="HK98" s="214"/>
      <c r="HL98" s="214"/>
      <c r="HM98" s="214"/>
      <c r="HN98" s="214"/>
      <c r="HO98" s="214"/>
      <c r="HP98" s="214"/>
      <c r="HQ98" s="214"/>
      <c r="HR98" s="214"/>
      <c r="HS98" s="214"/>
      <c r="HT98" s="214"/>
      <c r="HU98" s="214"/>
      <c r="HV98" s="214"/>
      <c r="HW98" s="214"/>
      <c r="HX98" s="214"/>
      <c r="HY98" s="214"/>
      <c r="HZ98" s="214"/>
      <c r="IA98" s="214"/>
      <c r="IB98" s="214"/>
      <c r="IC98" s="214"/>
      <c r="ID98" s="214"/>
      <c r="IE98" s="214"/>
      <c r="IF98" s="214"/>
      <c r="IG98" s="214"/>
      <c r="IH98" s="214"/>
      <c r="II98" s="214"/>
      <c r="IJ98" s="214"/>
      <c r="IK98" s="214"/>
      <c r="IL98" s="214"/>
      <c r="IM98" s="214"/>
      <c r="IN98" s="214"/>
      <c r="IO98" s="214"/>
      <c r="IP98" s="214"/>
      <c r="IQ98" s="214"/>
      <c r="IR98" s="214"/>
      <c r="IS98" s="214"/>
      <c r="IT98" s="214"/>
      <c r="IU98" s="214"/>
      <c r="IV98" s="214"/>
      <c r="IW98" s="214"/>
      <c r="IX98" s="214"/>
      <c r="IY98" s="214"/>
      <c r="IZ98" s="214"/>
      <c r="JA98" s="214"/>
      <c r="JB98" s="214"/>
      <c r="JC98" s="214"/>
      <c r="JD98" s="214"/>
      <c r="JE98" s="214"/>
      <c r="JF98" s="214"/>
      <c r="JG98" s="214"/>
      <c r="JH98" s="214"/>
      <c r="JI98" s="214"/>
    </row>
    <row r="99" spans="1:269">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c r="CG99" s="214"/>
      <c r="CH99" s="214"/>
      <c r="CI99" s="214"/>
      <c r="CJ99" s="214"/>
      <c r="CK99" s="214"/>
      <c r="CL99" s="214"/>
      <c r="CM99" s="214"/>
      <c r="CN99" s="214"/>
      <c r="CO99" s="214"/>
      <c r="CP99" s="214"/>
      <c r="CQ99" s="214"/>
      <c r="CR99" s="214"/>
      <c r="CS99" s="214"/>
      <c r="CT99" s="214"/>
      <c r="CU99" s="214"/>
      <c r="CV99" s="214"/>
      <c r="CW99" s="214"/>
      <c r="CX99" s="214"/>
      <c r="CY99" s="214"/>
      <c r="CZ99" s="214"/>
      <c r="DA99" s="214"/>
      <c r="DB99" s="214"/>
      <c r="DC99" s="214"/>
      <c r="DD99" s="214"/>
      <c r="DE99" s="214"/>
      <c r="DF99" s="214"/>
      <c r="DG99" s="214"/>
      <c r="DH99" s="214"/>
      <c r="DI99" s="214"/>
      <c r="DJ99" s="214"/>
      <c r="DK99" s="214"/>
      <c r="DL99" s="214"/>
      <c r="DM99" s="214"/>
      <c r="DN99" s="214"/>
      <c r="DO99" s="214"/>
      <c r="DP99" s="214"/>
      <c r="DQ99" s="214"/>
      <c r="DR99" s="214"/>
      <c r="DS99" s="214"/>
      <c r="DT99" s="214"/>
      <c r="DU99" s="214"/>
      <c r="DV99" s="214"/>
      <c r="DW99" s="214"/>
      <c r="DX99" s="214"/>
      <c r="DY99" s="214"/>
      <c r="DZ99" s="214"/>
      <c r="EA99" s="214"/>
      <c r="EB99" s="214"/>
      <c r="EC99" s="214"/>
      <c r="ED99" s="214"/>
      <c r="EE99" s="214"/>
      <c r="EF99" s="214"/>
      <c r="EG99" s="214"/>
      <c r="EH99" s="214"/>
      <c r="EI99" s="214"/>
      <c r="EJ99" s="214"/>
      <c r="EK99" s="214"/>
      <c r="EL99" s="214"/>
      <c r="EM99" s="214"/>
      <c r="EN99" s="214"/>
      <c r="EO99" s="214"/>
      <c r="EP99" s="214"/>
      <c r="EQ99" s="214"/>
      <c r="ER99" s="214"/>
      <c r="ES99" s="214"/>
      <c r="ET99" s="214"/>
      <c r="EU99" s="214"/>
      <c r="EV99" s="214"/>
      <c r="EW99" s="214"/>
      <c r="EX99" s="214"/>
      <c r="EY99" s="214"/>
      <c r="EZ99" s="214"/>
      <c r="FA99" s="214"/>
      <c r="FB99" s="214"/>
      <c r="FC99" s="214"/>
      <c r="FD99" s="214"/>
      <c r="FE99" s="214"/>
      <c r="FF99" s="214"/>
      <c r="FG99" s="214"/>
      <c r="FH99" s="214"/>
      <c r="FI99" s="214"/>
      <c r="FJ99" s="214"/>
      <c r="FK99" s="214"/>
      <c r="FL99" s="214"/>
      <c r="FM99" s="214"/>
      <c r="FN99" s="214"/>
      <c r="FO99" s="214"/>
      <c r="FP99" s="214"/>
      <c r="FQ99" s="214"/>
      <c r="FR99" s="214"/>
      <c r="FS99" s="214"/>
      <c r="FT99" s="214"/>
      <c r="FU99" s="214"/>
      <c r="FV99" s="214"/>
      <c r="FW99" s="214"/>
      <c r="FX99" s="214"/>
      <c r="FY99" s="214"/>
      <c r="FZ99" s="214"/>
      <c r="GA99" s="214"/>
      <c r="GB99" s="214"/>
      <c r="GC99" s="214"/>
      <c r="GD99" s="214"/>
      <c r="GE99" s="214"/>
      <c r="GF99" s="214"/>
      <c r="GG99" s="214"/>
      <c r="GH99" s="214"/>
      <c r="GI99" s="214"/>
      <c r="GJ99" s="214"/>
      <c r="GK99" s="214"/>
      <c r="GL99" s="214"/>
      <c r="GM99" s="214"/>
      <c r="GN99" s="214"/>
      <c r="GO99" s="214"/>
      <c r="GP99" s="214"/>
      <c r="GQ99" s="214"/>
      <c r="GR99" s="214"/>
      <c r="GS99" s="214"/>
      <c r="GT99" s="214"/>
      <c r="GU99" s="214"/>
      <c r="GV99" s="214"/>
      <c r="GW99" s="214"/>
      <c r="GX99" s="214"/>
      <c r="GY99" s="214"/>
      <c r="GZ99" s="214"/>
      <c r="HA99" s="214"/>
      <c r="HB99" s="214"/>
      <c r="HC99" s="214"/>
      <c r="HD99" s="214"/>
      <c r="HE99" s="214"/>
      <c r="HF99" s="214"/>
      <c r="HG99" s="214"/>
      <c r="HH99" s="214"/>
      <c r="HI99" s="214"/>
      <c r="HJ99" s="214"/>
      <c r="HK99" s="214"/>
      <c r="HL99" s="214"/>
      <c r="HM99" s="214"/>
      <c r="HN99" s="214"/>
      <c r="HO99" s="214"/>
      <c r="HP99" s="214"/>
      <c r="HQ99" s="214"/>
      <c r="HR99" s="214"/>
      <c r="HS99" s="214"/>
      <c r="HT99" s="214"/>
      <c r="HU99" s="214"/>
      <c r="HV99" s="214"/>
      <c r="HW99" s="214"/>
      <c r="HX99" s="214"/>
      <c r="HY99" s="214"/>
      <c r="HZ99" s="214"/>
      <c r="IA99" s="214"/>
      <c r="IB99" s="214"/>
      <c r="IC99" s="214"/>
      <c r="ID99" s="214"/>
      <c r="IE99" s="214"/>
      <c r="IF99" s="214"/>
      <c r="IG99" s="214"/>
      <c r="IH99" s="214"/>
      <c r="II99" s="214"/>
      <c r="IJ99" s="214"/>
      <c r="IK99" s="214"/>
      <c r="IL99" s="214"/>
      <c r="IM99" s="214"/>
      <c r="IN99" s="214"/>
      <c r="IO99" s="214"/>
      <c r="IP99" s="214"/>
      <c r="IQ99" s="214"/>
      <c r="IR99" s="214"/>
      <c r="IS99" s="214"/>
      <c r="IT99" s="214"/>
      <c r="IU99" s="214"/>
      <c r="IV99" s="214"/>
      <c r="IW99" s="214"/>
      <c r="IX99" s="214"/>
      <c r="IY99" s="214"/>
      <c r="IZ99" s="214"/>
      <c r="JA99" s="214"/>
      <c r="JB99" s="214"/>
      <c r="JC99" s="214"/>
      <c r="JD99" s="214"/>
      <c r="JE99" s="214"/>
      <c r="JF99" s="214"/>
      <c r="JG99" s="214"/>
      <c r="JH99" s="214"/>
      <c r="JI99" s="214"/>
    </row>
    <row r="100" spans="1:269">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c r="CG100" s="214"/>
      <c r="CH100" s="214"/>
      <c r="CI100" s="214"/>
      <c r="CJ100" s="214"/>
      <c r="CK100" s="214"/>
      <c r="CL100" s="214"/>
      <c r="CM100" s="214"/>
      <c r="CN100" s="214"/>
      <c r="CO100" s="214"/>
      <c r="CP100" s="214"/>
      <c r="CQ100" s="214"/>
      <c r="CR100" s="214"/>
      <c r="CS100" s="214"/>
      <c r="CT100" s="214"/>
      <c r="CU100" s="214"/>
      <c r="CV100" s="214"/>
      <c r="CW100" s="214"/>
      <c r="CX100" s="214"/>
      <c r="CY100" s="214"/>
      <c r="CZ100" s="214"/>
      <c r="DA100" s="214"/>
      <c r="DB100" s="214"/>
      <c r="DC100" s="214"/>
      <c r="DD100" s="214"/>
      <c r="DE100" s="214"/>
      <c r="DF100" s="214"/>
      <c r="DG100" s="214"/>
      <c r="DH100" s="214"/>
      <c r="DI100" s="214"/>
      <c r="DJ100" s="214"/>
      <c r="DK100" s="214"/>
      <c r="DL100" s="214"/>
      <c r="DM100" s="214"/>
      <c r="DN100" s="214"/>
      <c r="DO100" s="214"/>
      <c r="DP100" s="214"/>
      <c r="DQ100" s="214"/>
      <c r="DR100" s="214"/>
      <c r="DS100" s="214"/>
      <c r="DT100" s="214"/>
      <c r="DU100" s="214"/>
      <c r="DV100" s="214"/>
      <c r="DW100" s="214"/>
      <c r="DX100" s="214"/>
      <c r="DY100" s="214"/>
      <c r="DZ100" s="214"/>
      <c r="EA100" s="214"/>
      <c r="EB100" s="214"/>
      <c r="EC100" s="214"/>
      <c r="ED100" s="214"/>
      <c r="EE100" s="214"/>
      <c r="EF100" s="214"/>
      <c r="EG100" s="214"/>
      <c r="EH100" s="214"/>
      <c r="EI100" s="214"/>
      <c r="EJ100" s="214"/>
      <c r="EK100" s="214"/>
      <c r="EL100" s="214"/>
      <c r="EM100" s="214"/>
      <c r="EN100" s="214"/>
      <c r="EO100" s="214"/>
      <c r="EP100" s="214"/>
      <c r="EQ100" s="214"/>
      <c r="ER100" s="214"/>
      <c r="ES100" s="214"/>
      <c r="ET100" s="214"/>
      <c r="EU100" s="214"/>
      <c r="EV100" s="214"/>
      <c r="EW100" s="214"/>
      <c r="EX100" s="214"/>
      <c r="EY100" s="214"/>
      <c r="EZ100" s="214"/>
      <c r="FA100" s="214"/>
      <c r="FB100" s="214"/>
      <c r="FC100" s="214"/>
      <c r="FD100" s="214"/>
      <c r="FE100" s="214"/>
      <c r="FF100" s="214"/>
      <c r="FG100" s="214"/>
      <c r="FH100" s="214"/>
      <c r="FI100" s="214"/>
      <c r="FJ100" s="214"/>
      <c r="FK100" s="214"/>
      <c r="FL100" s="214"/>
      <c r="FM100" s="214"/>
      <c r="FN100" s="214"/>
      <c r="FO100" s="214"/>
      <c r="FP100" s="214"/>
      <c r="FQ100" s="214"/>
      <c r="FR100" s="214"/>
      <c r="FS100" s="214"/>
      <c r="FT100" s="214"/>
      <c r="FU100" s="214"/>
      <c r="FV100" s="214"/>
      <c r="FW100" s="214"/>
      <c r="FX100" s="214"/>
      <c r="FY100" s="214"/>
      <c r="FZ100" s="214"/>
      <c r="GA100" s="214"/>
      <c r="GB100" s="214"/>
      <c r="GC100" s="214"/>
      <c r="GD100" s="214"/>
      <c r="GE100" s="214"/>
      <c r="GF100" s="214"/>
      <c r="GG100" s="214"/>
      <c r="GH100" s="214"/>
      <c r="GI100" s="214"/>
      <c r="GJ100" s="214"/>
      <c r="GK100" s="214"/>
      <c r="GL100" s="214"/>
      <c r="GM100" s="214"/>
      <c r="GN100" s="214"/>
      <c r="GO100" s="214"/>
      <c r="GP100" s="214"/>
      <c r="GQ100" s="214"/>
      <c r="GR100" s="214"/>
      <c r="GS100" s="214"/>
      <c r="GT100" s="214"/>
      <c r="GU100" s="214"/>
      <c r="GV100" s="214"/>
      <c r="GW100" s="214"/>
      <c r="GX100" s="214"/>
      <c r="GY100" s="214"/>
      <c r="GZ100" s="214"/>
      <c r="HA100" s="214"/>
      <c r="HB100" s="214"/>
      <c r="HC100" s="214"/>
      <c r="HD100" s="214"/>
      <c r="HE100" s="214"/>
      <c r="HF100" s="214"/>
      <c r="HG100" s="214"/>
      <c r="HH100" s="214"/>
      <c r="HI100" s="214"/>
      <c r="HJ100" s="214"/>
      <c r="HK100" s="214"/>
      <c r="HL100" s="214"/>
      <c r="HM100" s="214"/>
      <c r="HN100" s="214"/>
      <c r="HO100" s="214"/>
      <c r="HP100" s="214"/>
      <c r="HQ100" s="214"/>
      <c r="HR100" s="214"/>
      <c r="HS100" s="214"/>
      <c r="HT100" s="214"/>
      <c r="HU100" s="214"/>
      <c r="HV100" s="214"/>
      <c r="HW100" s="214"/>
      <c r="HX100" s="214"/>
      <c r="HY100" s="214"/>
      <c r="HZ100" s="214"/>
      <c r="IA100" s="214"/>
      <c r="IB100" s="214"/>
      <c r="IC100" s="214"/>
      <c r="ID100" s="214"/>
      <c r="IE100" s="214"/>
      <c r="IF100" s="214"/>
      <c r="IG100" s="214"/>
      <c r="IH100" s="214"/>
      <c r="II100" s="214"/>
      <c r="IJ100" s="214"/>
      <c r="IK100" s="214"/>
      <c r="IL100" s="214"/>
      <c r="IM100" s="214"/>
      <c r="IN100" s="214"/>
      <c r="IO100" s="214"/>
      <c r="IP100" s="214"/>
      <c r="IQ100" s="214"/>
      <c r="IR100" s="214"/>
      <c r="IS100" s="214"/>
      <c r="IT100" s="214"/>
      <c r="IU100" s="214"/>
      <c r="IV100" s="214"/>
      <c r="IW100" s="214"/>
      <c r="IX100" s="214"/>
      <c r="IY100" s="214"/>
      <c r="IZ100" s="214"/>
      <c r="JA100" s="214"/>
      <c r="JB100" s="214"/>
      <c r="JC100" s="214"/>
      <c r="JD100" s="214"/>
      <c r="JE100" s="214"/>
      <c r="JF100" s="214"/>
      <c r="JG100" s="214"/>
      <c r="JH100" s="214"/>
      <c r="JI100" s="214"/>
    </row>
    <row r="101" spans="1:269">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c r="CG101" s="214"/>
      <c r="CH101" s="214"/>
      <c r="CI101" s="214"/>
      <c r="CJ101" s="214"/>
      <c r="CK101" s="214"/>
      <c r="CL101" s="214"/>
      <c r="CM101" s="214"/>
      <c r="CN101" s="214"/>
      <c r="CO101" s="214"/>
      <c r="CP101" s="214"/>
      <c r="CQ101" s="214"/>
      <c r="CR101" s="214"/>
      <c r="CS101" s="214"/>
      <c r="CT101" s="214"/>
      <c r="CU101" s="214"/>
      <c r="CV101" s="214"/>
      <c r="CW101" s="214"/>
      <c r="CX101" s="214"/>
      <c r="CY101" s="214"/>
      <c r="CZ101" s="214"/>
      <c r="DA101" s="214"/>
      <c r="DB101" s="214"/>
      <c r="DC101" s="214"/>
      <c r="DD101" s="214"/>
      <c r="DE101" s="214"/>
      <c r="DF101" s="214"/>
      <c r="DG101" s="214"/>
      <c r="DH101" s="214"/>
      <c r="DI101" s="214"/>
      <c r="DJ101" s="214"/>
      <c r="DK101" s="214"/>
      <c r="DL101" s="214"/>
      <c r="DM101" s="214"/>
      <c r="DN101" s="214"/>
      <c r="DO101" s="214"/>
      <c r="DP101" s="214"/>
      <c r="DQ101" s="214"/>
      <c r="DR101" s="214"/>
      <c r="DS101" s="214"/>
      <c r="DT101" s="214"/>
      <c r="DU101" s="214"/>
      <c r="DV101" s="214"/>
      <c r="DW101" s="214"/>
      <c r="DX101" s="214"/>
      <c r="DY101" s="214"/>
      <c r="DZ101" s="214"/>
      <c r="EA101" s="214"/>
      <c r="EB101" s="214"/>
      <c r="EC101" s="214"/>
      <c r="ED101" s="214"/>
      <c r="EE101" s="214"/>
      <c r="EF101" s="214"/>
      <c r="EG101" s="214"/>
      <c r="EH101" s="214"/>
      <c r="EI101" s="214"/>
      <c r="EJ101" s="214"/>
      <c r="EK101" s="214"/>
      <c r="EL101" s="214"/>
      <c r="EM101" s="214"/>
      <c r="EN101" s="214"/>
      <c r="EO101" s="214"/>
      <c r="EP101" s="214"/>
      <c r="EQ101" s="214"/>
      <c r="ER101" s="214"/>
      <c r="ES101" s="214"/>
      <c r="ET101" s="214"/>
      <c r="EU101" s="214"/>
      <c r="EV101" s="214"/>
      <c r="EW101" s="214"/>
      <c r="EX101" s="214"/>
      <c r="EY101" s="214"/>
      <c r="EZ101" s="214"/>
      <c r="FA101" s="214"/>
      <c r="FB101" s="214"/>
      <c r="FC101" s="214"/>
      <c r="FD101" s="214"/>
      <c r="FE101" s="214"/>
      <c r="FF101" s="214"/>
      <c r="FG101" s="214"/>
      <c r="FH101" s="214"/>
      <c r="FI101" s="214"/>
      <c r="FJ101" s="214"/>
      <c r="FK101" s="214"/>
      <c r="FL101" s="214"/>
      <c r="FM101" s="214"/>
      <c r="FN101" s="214"/>
      <c r="FO101" s="214"/>
      <c r="FP101" s="214"/>
      <c r="FQ101" s="214"/>
      <c r="FR101" s="214"/>
      <c r="FS101" s="214"/>
      <c r="FT101" s="214"/>
      <c r="FU101" s="214"/>
      <c r="FV101" s="214"/>
      <c r="FW101" s="214"/>
      <c r="FX101" s="214"/>
      <c r="FY101" s="214"/>
      <c r="FZ101" s="214"/>
      <c r="GA101" s="214"/>
      <c r="GB101" s="214"/>
      <c r="GC101" s="214"/>
      <c r="GD101" s="214"/>
      <c r="GE101" s="214"/>
      <c r="GF101" s="214"/>
      <c r="GG101" s="214"/>
      <c r="GH101" s="214"/>
      <c r="GI101" s="214"/>
      <c r="GJ101" s="214"/>
      <c r="GK101" s="214"/>
      <c r="GL101" s="214"/>
      <c r="GM101" s="214"/>
      <c r="GN101" s="214"/>
      <c r="GO101" s="214"/>
      <c r="GP101" s="214"/>
      <c r="GQ101" s="214"/>
      <c r="GR101" s="214"/>
      <c r="GS101" s="214"/>
      <c r="GT101" s="214"/>
      <c r="GU101" s="214"/>
      <c r="GV101" s="214"/>
      <c r="GW101" s="214"/>
      <c r="GX101" s="214"/>
      <c r="GY101" s="214"/>
      <c r="GZ101" s="214"/>
      <c r="HA101" s="214"/>
      <c r="HB101" s="214"/>
      <c r="HC101" s="214"/>
      <c r="HD101" s="214"/>
      <c r="HE101" s="214"/>
      <c r="HF101" s="214"/>
      <c r="HG101" s="214"/>
      <c r="HH101" s="214"/>
      <c r="HI101" s="214"/>
      <c r="HJ101" s="214"/>
      <c r="HK101" s="214"/>
      <c r="HL101" s="214"/>
      <c r="HM101" s="214"/>
      <c r="HN101" s="214"/>
      <c r="HO101" s="214"/>
      <c r="HP101" s="214"/>
      <c r="HQ101" s="214"/>
      <c r="HR101" s="214"/>
      <c r="HS101" s="214"/>
      <c r="HT101" s="214"/>
      <c r="HU101" s="214"/>
      <c r="HV101" s="214"/>
      <c r="HW101" s="214"/>
      <c r="HX101" s="214"/>
      <c r="HY101" s="214"/>
      <c r="HZ101" s="214"/>
      <c r="IA101" s="214"/>
      <c r="IB101" s="214"/>
      <c r="IC101" s="214"/>
      <c r="ID101" s="214"/>
      <c r="IE101" s="214"/>
      <c r="IF101" s="214"/>
      <c r="IG101" s="214"/>
      <c r="IH101" s="214"/>
      <c r="II101" s="214"/>
      <c r="IJ101" s="214"/>
      <c r="IK101" s="214"/>
      <c r="IL101" s="214"/>
      <c r="IM101" s="214"/>
      <c r="IN101" s="214"/>
      <c r="IO101" s="214"/>
      <c r="IP101" s="214"/>
      <c r="IQ101" s="214"/>
      <c r="IR101" s="214"/>
      <c r="IS101" s="214"/>
      <c r="IT101" s="214"/>
      <c r="IU101" s="214"/>
      <c r="IV101" s="214"/>
      <c r="IW101" s="214"/>
      <c r="IX101" s="214"/>
      <c r="IY101" s="214"/>
      <c r="IZ101" s="214"/>
      <c r="JA101" s="214"/>
      <c r="JB101" s="214"/>
      <c r="JC101" s="214"/>
      <c r="JD101" s="214"/>
      <c r="JE101" s="214"/>
      <c r="JF101" s="214"/>
      <c r="JG101" s="214"/>
      <c r="JH101" s="214"/>
      <c r="JI101" s="214"/>
    </row>
    <row r="102" spans="1:269">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c r="CG102" s="214"/>
      <c r="CH102" s="214"/>
      <c r="CI102" s="214"/>
      <c r="CJ102" s="214"/>
      <c r="CK102" s="214"/>
      <c r="CL102" s="214"/>
      <c r="CM102" s="214"/>
      <c r="CN102" s="214"/>
      <c r="CO102" s="214"/>
      <c r="CP102" s="214"/>
      <c r="CQ102" s="214"/>
      <c r="CR102" s="214"/>
      <c r="CS102" s="214"/>
      <c r="CT102" s="214"/>
      <c r="CU102" s="214"/>
      <c r="CV102" s="214"/>
      <c r="CW102" s="214"/>
      <c r="CX102" s="214"/>
      <c r="CY102" s="214"/>
      <c r="CZ102" s="214"/>
      <c r="DA102" s="214"/>
      <c r="DB102" s="214"/>
      <c r="DC102" s="214"/>
      <c r="DD102" s="214"/>
      <c r="DE102" s="214"/>
      <c r="DF102" s="214"/>
      <c r="DG102" s="214"/>
      <c r="DH102" s="214"/>
      <c r="DI102" s="214"/>
      <c r="DJ102" s="214"/>
      <c r="DK102" s="214"/>
      <c r="DL102" s="214"/>
      <c r="DM102" s="214"/>
      <c r="DN102" s="214"/>
      <c r="DO102" s="214"/>
      <c r="DP102" s="214"/>
      <c r="DQ102" s="214"/>
      <c r="DR102" s="214"/>
      <c r="DS102" s="214"/>
      <c r="DT102" s="214"/>
      <c r="DU102" s="214"/>
      <c r="DV102" s="214"/>
      <c r="DW102" s="214"/>
      <c r="DX102" s="214"/>
      <c r="DY102" s="214"/>
      <c r="DZ102" s="214"/>
      <c r="EA102" s="214"/>
      <c r="EB102" s="214"/>
      <c r="EC102" s="214"/>
      <c r="ED102" s="214"/>
      <c r="EE102" s="214"/>
      <c r="EF102" s="214"/>
      <c r="EG102" s="214"/>
      <c r="EH102" s="214"/>
      <c r="EI102" s="214"/>
      <c r="EJ102" s="214"/>
      <c r="EK102" s="214"/>
      <c r="EL102" s="214"/>
      <c r="EM102" s="214"/>
      <c r="EN102" s="214"/>
      <c r="EO102" s="214"/>
      <c r="EP102" s="214"/>
      <c r="EQ102" s="214"/>
      <c r="ER102" s="214"/>
      <c r="ES102" s="214"/>
      <c r="ET102" s="214"/>
      <c r="EU102" s="214"/>
      <c r="EV102" s="214"/>
      <c r="EW102" s="214"/>
      <c r="EX102" s="214"/>
      <c r="EY102" s="214"/>
      <c r="EZ102" s="214"/>
      <c r="FA102" s="214"/>
      <c r="FB102" s="214"/>
      <c r="FC102" s="214"/>
      <c r="FD102" s="214"/>
      <c r="FE102" s="214"/>
      <c r="FF102" s="214"/>
      <c r="FG102" s="214"/>
      <c r="FH102" s="214"/>
      <c r="FI102" s="214"/>
      <c r="FJ102" s="214"/>
      <c r="FK102" s="214"/>
      <c r="FL102" s="214"/>
      <c r="FM102" s="214"/>
      <c r="FN102" s="214"/>
      <c r="FO102" s="214"/>
      <c r="FP102" s="214"/>
      <c r="FQ102" s="214"/>
      <c r="FR102" s="214"/>
      <c r="FS102" s="214"/>
      <c r="FT102" s="214"/>
      <c r="FU102" s="214"/>
      <c r="FV102" s="214"/>
      <c r="FW102" s="214"/>
      <c r="FX102" s="214"/>
      <c r="FY102" s="214"/>
      <c r="FZ102" s="214"/>
      <c r="GA102" s="214"/>
      <c r="GB102" s="214"/>
      <c r="GC102" s="214"/>
      <c r="GD102" s="214"/>
      <c r="GE102" s="214"/>
      <c r="GF102" s="214"/>
      <c r="GG102" s="214"/>
      <c r="GH102" s="214"/>
      <c r="GI102" s="214"/>
      <c r="GJ102" s="214"/>
      <c r="GK102" s="214"/>
      <c r="GL102" s="214"/>
      <c r="GM102" s="214"/>
      <c r="GN102" s="214"/>
      <c r="GO102" s="214"/>
      <c r="GP102" s="214"/>
      <c r="GQ102" s="214"/>
      <c r="GR102" s="214"/>
      <c r="GS102" s="214"/>
      <c r="GT102" s="214"/>
      <c r="GU102" s="214"/>
      <c r="GV102" s="214"/>
      <c r="GW102" s="214"/>
      <c r="GX102" s="214"/>
      <c r="GY102" s="214"/>
      <c r="GZ102" s="214"/>
      <c r="HA102" s="214"/>
      <c r="HB102" s="214"/>
      <c r="HC102" s="214"/>
      <c r="HD102" s="214"/>
      <c r="HE102" s="214"/>
      <c r="HF102" s="214"/>
      <c r="HG102" s="214"/>
      <c r="HH102" s="214"/>
      <c r="HI102" s="214"/>
      <c r="HJ102" s="214"/>
      <c r="HK102" s="214"/>
      <c r="HL102" s="214"/>
      <c r="HM102" s="214"/>
      <c r="HN102" s="214"/>
      <c r="HO102" s="214"/>
      <c r="HP102" s="214"/>
      <c r="HQ102" s="214"/>
      <c r="HR102" s="214"/>
      <c r="HS102" s="214"/>
      <c r="HT102" s="214"/>
      <c r="HU102" s="214"/>
      <c r="HV102" s="214"/>
      <c r="HW102" s="214"/>
      <c r="HX102" s="214"/>
      <c r="HY102" s="214"/>
      <c r="HZ102" s="214"/>
      <c r="IA102" s="214"/>
      <c r="IB102" s="214"/>
      <c r="IC102" s="214"/>
      <c r="ID102" s="214"/>
      <c r="IE102" s="214"/>
      <c r="IF102" s="214"/>
      <c r="IG102" s="214"/>
      <c r="IH102" s="214"/>
      <c r="II102" s="214"/>
      <c r="IJ102" s="214"/>
      <c r="IK102" s="214"/>
      <c r="IL102" s="214"/>
      <c r="IM102" s="214"/>
      <c r="IN102" s="214"/>
      <c r="IO102" s="214"/>
      <c r="IP102" s="214"/>
      <c r="IQ102" s="214"/>
      <c r="IR102" s="214"/>
      <c r="IS102" s="214"/>
      <c r="IT102" s="214"/>
      <c r="IU102" s="214"/>
      <c r="IV102" s="214"/>
      <c r="IW102" s="214"/>
      <c r="IX102" s="214"/>
      <c r="IY102" s="214"/>
      <c r="IZ102" s="214"/>
      <c r="JA102" s="214"/>
      <c r="JB102" s="214"/>
      <c r="JC102" s="214"/>
      <c r="JD102" s="214"/>
      <c r="JE102" s="214"/>
      <c r="JF102" s="214"/>
      <c r="JG102" s="214"/>
      <c r="JH102" s="214"/>
      <c r="JI102" s="214"/>
    </row>
    <row r="103" spans="1:269">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c r="CG103" s="214"/>
      <c r="CH103" s="214"/>
      <c r="CI103" s="214"/>
      <c r="CJ103" s="214"/>
      <c r="CK103" s="214"/>
      <c r="CL103" s="214"/>
      <c r="CM103" s="214"/>
      <c r="CN103" s="214"/>
      <c r="CO103" s="214"/>
      <c r="CP103" s="214"/>
      <c r="CQ103" s="214"/>
      <c r="CR103" s="214"/>
      <c r="CS103" s="214"/>
      <c r="CT103" s="214"/>
      <c r="CU103" s="214"/>
      <c r="CV103" s="214"/>
      <c r="CW103" s="214"/>
      <c r="CX103" s="214"/>
      <c r="CY103" s="214"/>
      <c r="CZ103" s="214"/>
      <c r="DA103" s="214"/>
      <c r="DB103" s="214"/>
      <c r="DC103" s="214"/>
      <c r="DD103" s="214"/>
      <c r="DE103" s="214"/>
      <c r="DF103" s="214"/>
      <c r="DG103" s="214"/>
      <c r="DH103" s="214"/>
      <c r="DI103" s="214"/>
      <c r="DJ103" s="214"/>
      <c r="DK103" s="214"/>
      <c r="DL103" s="214"/>
      <c r="DM103" s="214"/>
      <c r="DN103" s="214"/>
      <c r="DO103" s="214"/>
      <c r="DP103" s="214"/>
      <c r="DQ103" s="214"/>
      <c r="DR103" s="214"/>
      <c r="DS103" s="214"/>
      <c r="DT103" s="214"/>
      <c r="DU103" s="214"/>
      <c r="DV103" s="214"/>
      <c r="DW103" s="214"/>
      <c r="DX103" s="214"/>
      <c r="DY103" s="214"/>
      <c r="DZ103" s="214"/>
      <c r="EA103" s="214"/>
      <c r="EB103" s="214"/>
      <c r="EC103" s="214"/>
      <c r="ED103" s="214"/>
      <c r="EE103" s="214"/>
      <c r="EF103" s="214"/>
      <c r="EG103" s="214"/>
      <c r="EH103" s="214"/>
      <c r="EI103" s="214"/>
      <c r="EJ103" s="214"/>
      <c r="EK103" s="214"/>
      <c r="EL103" s="214"/>
      <c r="EM103" s="214"/>
      <c r="EN103" s="214"/>
      <c r="EO103" s="214"/>
      <c r="EP103" s="214"/>
      <c r="EQ103" s="214"/>
      <c r="ER103" s="214"/>
      <c r="ES103" s="214"/>
      <c r="ET103" s="214"/>
      <c r="EU103" s="214"/>
      <c r="EV103" s="214"/>
      <c r="EW103" s="214"/>
      <c r="EX103" s="214"/>
      <c r="EY103" s="214"/>
      <c r="EZ103" s="214"/>
      <c r="FA103" s="214"/>
      <c r="FB103" s="214"/>
      <c r="FC103" s="214"/>
      <c r="FD103" s="214"/>
      <c r="FE103" s="214"/>
      <c r="FF103" s="214"/>
      <c r="FG103" s="214"/>
      <c r="FH103" s="214"/>
      <c r="FI103" s="214"/>
      <c r="FJ103" s="214"/>
      <c r="FK103" s="214"/>
      <c r="FL103" s="214"/>
      <c r="FM103" s="214"/>
      <c r="FN103" s="214"/>
      <c r="FO103" s="214"/>
      <c r="FP103" s="214"/>
      <c r="FQ103" s="214"/>
      <c r="FR103" s="214"/>
      <c r="FS103" s="214"/>
      <c r="FT103" s="214"/>
      <c r="FU103" s="214"/>
      <c r="FV103" s="214"/>
      <c r="FW103" s="214"/>
      <c r="FX103" s="214"/>
      <c r="FY103" s="214"/>
      <c r="FZ103" s="214"/>
      <c r="GA103" s="214"/>
      <c r="GB103" s="214"/>
      <c r="GC103" s="214"/>
      <c r="GD103" s="214"/>
      <c r="GE103" s="214"/>
      <c r="GF103" s="214"/>
      <c r="GG103" s="214"/>
      <c r="GH103" s="214"/>
      <c r="GI103" s="214"/>
      <c r="GJ103" s="214"/>
      <c r="GK103" s="214"/>
      <c r="GL103" s="214"/>
      <c r="GM103" s="214"/>
      <c r="GN103" s="214"/>
      <c r="GO103" s="214"/>
      <c r="GP103" s="214"/>
      <c r="GQ103" s="214"/>
      <c r="GR103" s="214"/>
      <c r="GS103" s="214"/>
      <c r="GT103" s="214"/>
      <c r="GU103" s="214"/>
      <c r="GV103" s="214"/>
      <c r="GW103" s="214"/>
      <c r="GX103" s="214"/>
      <c r="GY103" s="214"/>
      <c r="GZ103" s="214"/>
      <c r="HA103" s="214"/>
      <c r="HB103" s="214"/>
      <c r="HC103" s="214"/>
      <c r="HD103" s="214"/>
      <c r="HE103" s="214"/>
      <c r="HF103" s="214"/>
      <c r="HG103" s="214"/>
      <c r="HH103" s="214"/>
      <c r="HI103" s="214"/>
      <c r="HJ103" s="214"/>
      <c r="HK103" s="214"/>
      <c r="HL103" s="214"/>
      <c r="HM103" s="214"/>
      <c r="HN103" s="214"/>
      <c r="HO103" s="214"/>
      <c r="HP103" s="214"/>
      <c r="HQ103" s="214"/>
      <c r="HR103" s="214"/>
      <c r="HS103" s="214"/>
      <c r="HT103" s="214"/>
      <c r="HU103" s="214"/>
      <c r="HV103" s="214"/>
      <c r="HW103" s="214"/>
      <c r="HX103" s="214"/>
      <c r="HY103" s="214"/>
      <c r="HZ103" s="214"/>
      <c r="IA103" s="214"/>
      <c r="IB103" s="214"/>
      <c r="IC103" s="214"/>
      <c r="ID103" s="214"/>
      <c r="IE103" s="214"/>
      <c r="IF103" s="214"/>
      <c r="IG103" s="214"/>
      <c r="IH103" s="214"/>
      <c r="II103" s="214"/>
      <c r="IJ103" s="214"/>
      <c r="IK103" s="214"/>
      <c r="IL103" s="214"/>
      <c r="IM103" s="214"/>
      <c r="IN103" s="214"/>
      <c r="IO103" s="214"/>
      <c r="IP103" s="214"/>
      <c r="IQ103" s="214"/>
      <c r="IR103" s="214"/>
      <c r="IS103" s="214"/>
      <c r="IT103" s="214"/>
      <c r="IU103" s="214"/>
      <c r="IV103" s="214"/>
      <c r="IW103" s="214"/>
      <c r="IX103" s="214"/>
      <c r="IY103" s="214"/>
      <c r="IZ103" s="214"/>
      <c r="JA103" s="214"/>
      <c r="JB103" s="214"/>
      <c r="JC103" s="214"/>
      <c r="JD103" s="214"/>
      <c r="JE103" s="214"/>
      <c r="JF103" s="214"/>
      <c r="JG103" s="214"/>
      <c r="JH103" s="214"/>
      <c r="JI103" s="214"/>
    </row>
    <row r="104" spans="1:269">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c r="CG104" s="214"/>
      <c r="CH104" s="214"/>
      <c r="CI104" s="214"/>
      <c r="CJ104" s="214"/>
      <c r="CK104" s="214"/>
      <c r="CL104" s="214"/>
      <c r="CM104" s="214"/>
      <c r="CN104" s="214"/>
      <c r="CO104" s="214"/>
      <c r="CP104" s="214"/>
      <c r="CQ104" s="214"/>
      <c r="CR104" s="214"/>
      <c r="CS104" s="214"/>
      <c r="CT104" s="214"/>
      <c r="CU104" s="214"/>
      <c r="CV104" s="214"/>
      <c r="CW104" s="214"/>
      <c r="CX104" s="214"/>
      <c r="CY104" s="214"/>
      <c r="CZ104" s="214"/>
      <c r="DA104" s="214"/>
      <c r="DB104" s="214"/>
      <c r="DC104" s="214"/>
      <c r="DD104" s="214"/>
      <c r="DE104" s="214"/>
      <c r="DF104" s="214"/>
      <c r="DG104" s="214"/>
      <c r="DH104" s="214"/>
      <c r="DI104" s="214"/>
      <c r="DJ104" s="214"/>
      <c r="DK104" s="214"/>
      <c r="DL104" s="214"/>
      <c r="DM104" s="214"/>
      <c r="DN104" s="214"/>
      <c r="DO104" s="214"/>
      <c r="DP104" s="214"/>
      <c r="DQ104" s="214"/>
      <c r="DR104" s="214"/>
      <c r="DS104" s="214"/>
      <c r="DT104" s="214"/>
      <c r="DU104" s="214"/>
      <c r="DV104" s="214"/>
      <c r="DW104" s="214"/>
      <c r="DX104" s="214"/>
      <c r="DY104" s="214"/>
      <c r="DZ104" s="214"/>
      <c r="EA104" s="214"/>
      <c r="EB104" s="214"/>
      <c r="EC104" s="214"/>
      <c r="ED104" s="214"/>
      <c r="EE104" s="214"/>
      <c r="EF104" s="214"/>
      <c r="EG104" s="214"/>
      <c r="EH104" s="214"/>
      <c r="EI104" s="214"/>
      <c r="EJ104" s="214"/>
      <c r="EK104" s="214"/>
      <c r="EL104" s="214"/>
      <c r="EM104" s="214"/>
      <c r="EN104" s="214"/>
      <c r="EO104" s="214"/>
      <c r="EP104" s="214"/>
      <c r="EQ104" s="214"/>
      <c r="ER104" s="214"/>
      <c r="ES104" s="214"/>
      <c r="ET104" s="214"/>
      <c r="EU104" s="214"/>
      <c r="EV104" s="214"/>
      <c r="EW104" s="214"/>
      <c r="EX104" s="214"/>
      <c r="EY104" s="214"/>
      <c r="EZ104" s="214"/>
      <c r="FA104" s="214"/>
      <c r="FB104" s="214"/>
      <c r="FC104" s="214"/>
      <c r="FD104" s="214"/>
      <c r="FE104" s="214"/>
      <c r="FF104" s="214"/>
      <c r="FG104" s="214"/>
      <c r="FH104" s="214"/>
      <c r="FI104" s="214"/>
      <c r="FJ104" s="214"/>
      <c r="FK104" s="214"/>
      <c r="FL104" s="214"/>
      <c r="FM104" s="214"/>
      <c r="FN104" s="214"/>
      <c r="FO104" s="214"/>
      <c r="FP104" s="214"/>
      <c r="FQ104" s="214"/>
      <c r="FR104" s="214"/>
      <c r="FS104" s="214"/>
      <c r="FT104" s="214"/>
      <c r="FU104" s="214"/>
      <c r="FV104" s="214"/>
      <c r="FW104" s="214"/>
      <c r="FX104" s="214"/>
      <c r="FY104" s="214"/>
      <c r="FZ104" s="214"/>
      <c r="GA104" s="214"/>
      <c r="GB104" s="214"/>
      <c r="GC104" s="214"/>
      <c r="GD104" s="214"/>
      <c r="GE104" s="214"/>
      <c r="GF104" s="214"/>
      <c r="GG104" s="214"/>
      <c r="GH104" s="214"/>
      <c r="GI104" s="214"/>
      <c r="GJ104" s="214"/>
      <c r="GK104" s="214"/>
      <c r="GL104" s="214"/>
      <c r="GM104" s="214"/>
      <c r="GN104" s="214"/>
      <c r="GO104" s="214"/>
      <c r="GP104" s="214"/>
      <c r="GQ104" s="214"/>
      <c r="GR104" s="214"/>
      <c r="GS104" s="214"/>
      <c r="GT104" s="214"/>
      <c r="GU104" s="214"/>
      <c r="GV104" s="214"/>
      <c r="GW104" s="214"/>
      <c r="GX104" s="214"/>
      <c r="GY104" s="214"/>
      <c r="GZ104" s="214"/>
      <c r="HA104" s="214"/>
      <c r="HB104" s="214"/>
      <c r="HC104" s="214"/>
      <c r="HD104" s="214"/>
      <c r="HE104" s="214"/>
      <c r="HF104" s="214"/>
      <c r="HG104" s="214"/>
      <c r="HH104" s="214"/>
      <c r="HI104" s="214"/>
      <c r="HJ104" s="214"/>
      <c r="HK104" s="214"/>
      <c r="HL104" s="214"/>
      <c r="HM104" s="214"/>
      <c r="HN104" s="214"/>
      <c r="HO104" s="214"/>
      <c r="HP104" s="214"/>
      <c r="HQ104" s="214"/>
      <c r="HR104" s="214"/>
      <c r="HS104" s="214"/>
      <c r="HT104" s="214"/>
      <c r="HU104" s="214"/>
      <c r="HV104" s="214"/>
      <c r="HW104" s="214"/>
      <c r="HX104" s="214"/>
      <c r="HY104" s="214"/>
      <c r="HZ104" s="214"/>
      <c r="IA104" s="214"/>
      <c r="IB104" s="214"/>
      <c r="IC104" s="214"/>
      <c r="ID104" s="214"/>
      <c r="IE104" s="214"/>
      <c r="IF104" s="214"/>
      <c r="IG104" s="214"/>
      <c r="IH104" s="214"/>
      <c r="II104" s="214"/>
      <c r="IJ104" s="214"/>
      <c r="IK104" s="214"/>
      <c r="IL104" s="214"/>
      <c r="IM104" s="214"/>
      <c r="IN104" s="214"/>
      <c r="IO104" s="214"/>
      <c r="IP104" s="214"/>
      <c r="IQ104" s="214"/>
      <c r="IR104" s="214"/>
      <c r="IS104" s="214"/>
      <c r="IT104" s="214"/>
      <c r="IU104" s="214"/>
      <c r="IV104" s="214"/>
      <c r="IW104" s="214"/>
      <c r="IX104" s="214"/>
      <c r="IY104" s="214"/>
      <c r="IZ104" s="214"/>
      <c r="JA104" s="214"/>
      <c r="JB104" s="214"/>
      <c r="JC104" s="214"/>
      <c r="JD104" s="214"/>
      <c r="JE104" s="214"/>
      <c r="JF104" s="214"/>
      <c r="JG104" s="214"/>
      <c r="JH104" s="214"/>
      <c r="JI104" s="214"/>
    </row>
    <row r="105" spans="1:269">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c r="CG105" s="214"/>
      <c r="CH105" s="214"/>
      <c r="CI105" s="214"/>
      <c r="CJ105" s="214"/>
      <c r="CK105" s="214"/>
      <c r="CL105" s="214"/>
      <c r="CM105" s="214"/>
      <c r="CN105" s="214"/>
      <c r="CO105" s="214"/>
      <c r="CP105" s="214"/>
      <c r="CQ105" s="214"/>
      <c r="CR105" s="214"/>
      <c r="CS105" s="214"/>
      <c r="CT105" s="214"/>
      <c r="CU105" s="214"/>
      <c r="CV105" s="214"/>
      <c r="CW105" s="214"/>
      <c r="CX105" s="214"/>
      <c r="CY105" s="214"/>
      <c r="CZ105" s="214"/>
      <c r="DA105" s="214"/>
      <c r="DB105" s="214"/>
      <c r="DC105" s="214"/>
      <c r="DD105" s="214"/>
      <c r="DE105" s="214"/>
      <c r="DF105" s="214"/>
      <c r="DG105" s="214"/>
      <c r="DH105" s="214"/>
      <c r="DI105" s="214"/>
      <c r="DJ105" s="214"/>
      <c r="DK105" s="214"/>
      <c r="DL105" s="214"/>
      <c r="DM105" s="214"/>
      <c r="DN105" s="214"/>
      <c r="DO105" s="214"/>
      <c r="DP105" s="214"/>
      <c r="DQ105" s="214"/>
      <c r="DR105" s="214"/>
      <c r="DS105" s="214"/>
      <c r="DT105" s="214"/>
      <c r="DU105" s="214"/>
      <c r="DV105" s="214"/>
      <c r="DW105" s="214"/>
      <c r="DX105" s="214"/>
      <c r="DY105" s="214"/>
      <c r="DZ105" s="214"/>
      <c r="EA105" s="214"/>
      <c r="EB105" s="214"/>
      <c r="EC105" s="214"/>
      <c r="ED105" s="214"/>
      <c r="EE105" s="214"/>
      <c r="EF105" s="214"/>
      <c r="EG105" s="214"/>
      <c r="EH105" s="214"/>
      <c r="EI105" s="214"/>
      <c r="EJ105" s="214"/>
      <c r="EK105" s="214"/>
      <c r="EL105" s="214"/>
      <c r="EM105" s="214"/>
      <c r="EN105" s="214"/>
      <c r="EO105" s="214"/>
      <c r="EP105" s="214"/>
      <c r="EQ105" s="214"/>
      <c r="ER105" s="214"/>
      <c r="ES105" s="214"/>
      <c r="ET105" s="214"/>
      <c r="EU105" s="214"/>
      <c r="EV105" s="214"/>
      <c r="EW105" s="214"/>
      <c r="EX105" s="214"/>
      <c r="EY105" s="214"/>
      <c r="EZ105" s="214"/>
      <c r="FA105" s="214"/>
      <c r="FB105" s="214"/>
      <c r="FC105" s="214"/>
      <c r="FD105" s="214"/>
      <c r="FE105" s="214"/>
      <c r="FF105" s="214"/>
      <c r="FG105" s="214"/>
      <c r="FH105" s="214"/>
      <c r="FI105" s="214"/>
      <c r="FJ105" s="214"/>
      <c r="FK105" s="214"/>
      <c r="FL105" s="214"/>
      <c r="FM105" s="214"/>
      <c r="FN105" s="214"/>
      <c r="FO105" s="214"/>
      <c r="FP105" s="214"/>
      <c r="FQ105" s="214"/>
      <c r="FR105" s="214"/>
      <c r="FS105" s="214"/>
      <c r="FT105" s="214"/>
      <c r="FU105" s="214"/>
      <c r="FV105" s="214"/>
      <c r="FW105" s="214"/>
      <c r="FX105" s="214"/>
      <c r="FY105" s="214"/>
      <c r="FZ105" s="214"/>
      <c r="GA105" s="214"/>
      <c r="GB105" s="214"/>
      <c r="GC105" s="214"/>
      <c r="GD105" s="214"/>
      <c r="GE105" s="214"/>
      <c r="GF105" s="214"/>
      <c r="GG105" s="214"/>
      <c r="GH105" s="214"/>
      <c r="GI105" s="214"/>
      <c r="GJ105" s="214"/>
      <c r="GK105" s="214"/>
      <c r="GL105" s="214"/>
      <c r="GM105" s="214"/>
      <c r="GN105" s="214"/>
      <c r="GO105" s="214"/>
      <c r="GP105" s="214"/>
      <c r="GQ105" s="214"/>
      <c r="GR105" s="214"/>
      <c r="GS105" s="214"/>
      <c r="GT105" s="214"/>
      <c r="GU105" s="214"/>
      <c r="GV105" s="214"/>
      <c r="GW105" s="214"/>
      <c r="GX105" s="214"/>
      <c r="GY105" s="214"/>
      <c r="GZ105" s="214"/>
      <c r="HA105" s="214"/>
      <c r="HB105" s="214"/>
      <c r="HC105" s="214"/>
      <c r="HD105" s="214"/>
      <c r="HE105" s="214"/>
      <c r="HF105" s="214"/>
      <c r="HG105" s="214"/>
      <c r="HH105" s="214"/>
      <c r="HI105" s="214"/>
      <c r="HJ105" s="214"/>
      <c r="HK105" s="214"/>
      <c r="HL105" s="214"/>
      <c r="HM105" s="214"/>
      <c r="HN105" s="214"/>
      <c r="HO105" s="214"/>
      <c r="HP105" s="214"/>
      <c r="HQ105" s="214"/>
      <c r="HR105" s="214"/>
      <c r="HS105" s="214"/>
      <c r="HT105" s="214"/>
      <c r="HU105" s="214"/>
      <c r="HV105" s="214"/>
      <c r="HW105" s="214"/>
      <c r="HX105" s="214"/>
      <c r="HY105" s="214"/>
      <c r="HZ105" s="214"/>
      <c r="IA105" s="214"/>
      <c r="IB105" s="214"/>
      <c r="IC105" s="214"/>
      <c r="ID105" s="214"/>
      <c r="IE105" s="214"/>
      <c r="IF105" s="214"/>
      <c r="IG105" s="214"/>
      <c r="IH105" s="214"/>
      <c r="II105" s="214"/>
      <c r="IJ105" s="214"/>
      <c r="IK105" s="214"/>
      <c r="IL105" s="214"/>
      <c r="IM105" s="214"/>
      <c r="IN105" s="214"/>
      <c r="IO105" s="214"/>
      <c r="IP105" s="214"/>
      <c r="IQ105" s="214"/>
      <c r="IR105" s="214"/>
      <c r="IS105" s="214"/>
      <c r="IT105" s="214"/>
      <c r="IU105" s="214"/>
      <c r="IV105" s="214"/>
      <c r="IW105" s="214"/>
      <c r="IX105" s="214"/>
      <c r="IY105" s="214"/>
      <c r="IZ105" s="214"/>
      <c r="JA105" s="214"/>
      <c r="JB105" s="214"/>
      <c r="JC105" s="214"/>
      <c r="JD105" s="214"/>
      <c r="JE105" s="214"/>
      <c r="JF105" s="214"/>
      <c r="JG105" s="214"/>
      <c r="JH105" s="214"/>
      <c r="JI105" s="214"/>
    </row>
    <row r="106" spans="1:269">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c r="CG106" s="214"/>
      <c r="CH106" s="214"/>
      <c r="CI106" s="214"/>
      <c r="CJ106" s="214"/>
      <c r="CK106" s="214"/>
      <c r="CL106" s="214"/>
      <c r="CM106" s="214"/>
      <c r="CN106" s="214"/>
      <c r="CO106" s="214"/>
      <c r="CP106" s="214"/>
      <c r="CQ106" s="214"/>
      <c r="CR106" s="214"/>
      <c r="CS106" s="214"/>
      <c r="CT106" s="214"/>
      <c r="CU106" s="214"/>
      <c r="CV106" s="214"/>
      <c r="CW106" s="214"/>
      <c r="CX106" s="214"/>
      <c r="CY106" s="214"/>
      <c r="CZ106" s="214"/>
      <c r="DA106" s="214"/>
      <c r="DB106" s="214"/>
      <c r="DC106" s="214"/>
      <c r="DD106" s="214"/>
      <c r="DE106" s="214"/>
      <c r="DF106" s="214"/>
      <c r="DG106" s="214"/>
      <c r="DH106" s="214"/>
      <c r="DI106" s="214"/>
      <c r="DJ106" s="214"/>
      <c r="DK106" s="214"/>
      <c r="DL106" s="214"/>
      <c r="DM106" s="214"/>
      <c r="DN106" s="214"/>
      <c r="DO106" s="214"/>
      <c r="DP106" s="214"/>
      <c r="DQ106" s="214"/>
      <c r="DR106" s="214"/>
      <c r="DS106" s="214"/>
      <c r="DT106" s="214"/>
      <c r="DU106" s="214"/>
      <c r="DV106" s="214"/>
      <c r="DW106" s="214"/>
      <c r="DX106" s="214"/>
      <c r="DY106" s="214"/>
      <c r="DZ106" s="214"/>
      <c r="EA106" s="214"/>
      <c r="EB106" s="214"/>
      <c r="EC106" s="214"/>
      <c r="ED106" s="214"/>
      <c r="EE106" s="214"/>
      <c r="EF106" s="214"/>
      <c r="EG106" s="214"/>
      <c r="EH106" s="214"/>
      <c r="EI106" s="214"/>
      <c r="EJ106" s="214"/>
      <c r="EK106" s="214"/>
      <c r="EL106" s="214"/>
      <c r="EM106" s="214"/>
      <c r="EN106" s="214"/>
      <c r="EO106" s="214"/>
      <c r="EP106" s="214"/>
      <c r="EQ106" s="214"/>
      <c r="ER106" s="214"/>
      <c r="ES106" s="214"/>
      <c r="ET106" s="214"/>
      <c r="EU106" s="214"/>
      <c r="EV106" s="214"/>
      <c r="EW106" s="214"/>
      <c r="EX106" s="214"/>
      <c r="EY106" s="214"/>
      <c r="EZ106" s="214"/>
      <c r="FA106" s="214"/>
      <c r="FB106" s="214"/>
      <c r="FC106" s="214"/>
      <c r="FD106" s="214"/>
      <c r="FE106" s="214"/>
      <c r="FF106" s="214"/>
      <c r="FG106" s="214"/>
      <c r="FH106" s="214"/>
      <c r="FI106" s="214"/>
      <c r="FJ106" s="214"/>
      <c r="FK106" s="214"/>
      <c r="FL106" s="214"/>
      <c r="FM106" s="214"/>
      <c r="FN106" s="214"/>
      <c r="FO106" s="214"/>
      <c r="FP106" s="214"/>
      <c r="FQ106" s="214"/>
      <c r="FR106" s="214"/>
      <c r="FS106" s="214"/>
      <c r="FT106" s="214"/>
      <c r="FU106" s="214"/>
      <c r="FV106" s="214"/>
      <c r="FW106" s="214"/>
      <c r="FX106" s="214"/>
      <c r="FY106" s="214"/>
      <c r="FZ106" s="214"/>
      <c r="GA106" s="214"/>
      <c r="GB106" s="214"/>
      <c r="GC106" s="214"/>
      <c r="GD106" s="214"/>
      <c r="GE106" s="214"/>
      <c r="GF106" s="214"/>
      <c r="GG106" s="214"/>
      <c r="GH106" s="214"/>
      <c r="GI106" s="214"/>
      <c r="GJ106" s="214"/>
      <c r="GK106" s="214"/>
      <c r="GL106" s="214"/>
      <c r="GM106" s="214"/>
      <c r="GN106" s="214"/>
      <c r="GO106" s="214"/>
      <c r="GP106" s="214"/>
      <c r="GQ106" s="214"/>
      <c r="GR106" s="214"/>
      <c r="GS106" s="214"/>
      <c r="GT106" s="214"/>
      <c r="GU106" s="214"/>
      <c r="GV106" s="214"/>
      <c r="GW106" s="214"/>
      <c r="GX106" s="214"/>
      <c r="GY106" s="214"/>
      <c r="GZ106" s="214"/>
      <c r="HA106" s="214"/>
      <c r="HB106" s="214"/>
      <c r="HC106" s="214"/>
      <c r="HD106" s="214"/>
      <c r="HE106" s="214"/>
      <c r="HF106" s="214"/>
      <c r="HG106" s="214"/>
      <c r="HH106" s="214"/>
      <c r="HI106" s="214"/>
      <c r="HJ106" s="214"/>
      <c r="HK106" s="214"/>
      <c r="HL106" s="214"/>
      <c r="HM106" s="214"/>
      <c r="HN106" s="214"/>
      <c r="HO106" s="214"/>
      <c r="HP106" s="214"/>
      <c r="HQ106" s="214"/>
      <c r="HR106" s="214"/>
      <c r="HS106" s="214"/>
      <c r="HT106" s="214"/>
      <c r="HU106" s="214"/>
      <c r="HV106" s="214"/>
      <c r="HW106" s="214"/>
      <c r="HX106" s="214"/>
      <c r="HY106" s="214"/>
      <c r="HZ106" s="214"/>
      <c r="IA106" s="214"/>
      <c r="IB106" s="214"/>
      <c r="IC106" s="214"/>
      <c r="ID106" s="214"/>
      <c r="IE106" s="214"/>
      <c r="IF106" s="214"/>
      <c r="IG106" s="214"/>
      <c r="IH106" s="214"/>
      <c r="II106" s="214"/>
      <c r="IJ106" s="214"/>
      <c r="IK106" s="214"/>
      <c r="IL106" s="214"/>
      <c r="IM106" s="214"/>
      <c r="IN106" s="214"/>
      <c r="IO106" s="214"/>
      <c r="IP106" s="214"/>
      <c r="IQ106" s="214"/>
      <c r="IR106" s="214"/>
      <c r="IS106" s="214"/>
      <c r="IT106" s="214"/>
      <c r="IU106" s="214"/>
      <c r="IV106" s="214"/>
      <c r="IW106" s="214"/>
      <c r="IX106" s="214"/>
      <c r="IY106" s="214"/>
      <c r="IZ106" s="214"/>
      <c r="JA106" s="214"/>
      <c r="JB106" s="214"/>
      <c r="JC106" s="214"/>
      <c r="JD106" s="214"/>
      <c r="JE106" s="214"/>
      <c r="JF106" s="214"/>
      <c r="JG106" s="214"/>
      <c r="JH106" s="214"/>
      <c r="JI106" s="214"/>
    </row>
    <row r="107" spans="1:269">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c r="CG107" s="214"/>
      <c r="CH107" s="214"/>
      <c r="CI107" s="214"/>
      <c r="CJ107" s="214"/>
      <c r="CK107" s="214"/>
      <c r="CL107" s="214"/>
      <c r="CM107" s="214"/>
      <c r="CN107" s="214"/>
      <c r="CO107" s="214"/>
      <c r="CP107" s="214"/>
      <c r="CQ107" s="214"/>
      <c r="CR107" s="214"/>
      <c r="CS107" s="214"/>
      <c r="CT107" s="214"/>
      <c r="CU107" s="214"/>
      <c r="CV107" s="214"/>
      <c r="CW107" s="214"/>
      <c r="CX107" s="214"/>
      <c r="CY107" s="214"/>
      <c r="CZ107" s="214"/>
      <c r="DA107" s="214"/>
      <c r="DB107" s="214"/>
      <c r="DC107" s="214"/>
      <c r="DD107" s="214"/>
      <c r="DE107" s="214"/>
      <c r="DF107" s="214"/>
      <c r="DG107" s="214"/>
      <c r="DH107" s="214"/>
      <c r="DI107" s="214"/>
      <c r="DJ107" s="214"/>
      <c r="DK107" s="214"/>
      <c r="DL107" s="214"/>
      <c r="DM107" s="214"/>
      <c r="DN107" s="214"/>
      <c r="DO107" s="214"/>
      <c r="DP107" s="214"/>
      <c r="DQ107" s="214"/>
      <c r="DR107" s="214"/>
      <c r="DS107" s="214"/>
      <c r="DT107" s="214"/>
      <c r="DU107" s="214"/>
      <c r="DV107" s="214"/>
      <c r="DW107" s="214"/>
      <c r="DX107" s="214"/>
      <c r="DY107" s="214"/>
      <c r="DZ107" s="214"/>
      <c r="EA107" s="214"/>
      <c r="EB107" s="214"/>
      <c r="EC107" s="214"/>
      <c r="ED107" s="214"/>
      <c r="EE107" s="214"/>
      <c r="EF107" s="214"/>
      <c r="EG107" s="214"/>
      <c r="EH107" s="214"/>
      <c r="EI107" s="214"/>
      <c r="EJ107" s="214"/>
      <c r="EK107" s="214"/>
      <c r="EL107" s="214"/>
      <c r="EM107" s="214"/>
      <c r="EN107" s="214"/>
      <c r="EO107" s="214"/>
      <c r="EP107" s="214"/>
      <c r="EQ107" s="214"/>
      <c r="ER107" s="214"/>
      <c r="ES107" s="214"/>
      <c r="ET107" s="214"/>
      <c r="EU107" s="214"/>
      <c r="EV107" s="214"/>
      <c r="EW107" s="214"/>
      <c r="EX107" s="214"/>
      <c r="EY107" s="214"/>
      <c r="EZ107" s="214"/>
      <c r="FA107" s="214"/>
      <c r="FB107" s="214"/>
      <c r="FC107" s="214"/>
      <c r="FD107" s="214"/>
      <c r="FE107" s="214"/>
      <c r="FF107" s="214"/>
      <c r="FG107" s="214"/>
      <c r="FH107" s="214"/>
      <c r="FI107" s="214"/>
      <c r="FJ107" s="214"/>
      <c r="FK107" s="214"/>
      <c r="FL107" s="214"/>
      <c r="FM107" s="214"/>
      <c r="FN107" s="214"/>
      <c r="FO107" s="214"/>
      <c r="FP107" s="214"/>
      <c r="FQ107" s="214"/>
      <c r="FR107" s="214"/>
      <c r="FS107" s="214"/>
      <c r="FT107" s="214"/>
      <c r="FU107" s="214"/>
      <c r="FV107" s="214"/>
      <c r="FW107" s="214"/>
      <c r="FX107" s="214"/>
      <c r="FY107" s="214"/>
      <c r="FZ107" s="214"/>
      <c r="GA107" s="214"/>
      <c r="GB107" s="214"/>
      <c r="GC107" s="214"/>
      <c r="GD107" s="214"/>
      <c r="GE107" s="214"/>
      <c r="GF107" s="214"/>
      <c r="GG107" s="214"/>
      <c r="GH107" s="214"/>
      <c r="GI107" s="214"/>
      <c r="GJ107" s="214"/>
      <c r="GK107" s="214"/>
      <c r="GL107" s="214"/>
      <c r="GM107" s="214"/>
      <c r="GN107" s="214"/>
      <c r="GO107" s="214"/>
      <c r="GP107" s="214"/>
      <c r="GQ107" s="214"/>
      <c r="GR107" s="214"/>
      <c r="GS107" s="214"/>
      <c r="GT107" s="214"/>
      <c r="GU107" s="214"/>
      <c r="GV107" s="214"/>
      <c r="GW107" s="214"/>
      <c r="GX107" s="214"/>
      <c r="GY107" s="214"/>
      <c r="GZ107" s="214"/>
      <c r="HA107" s="214"/>
      <c r="HB107" s="214"/>
      <c r="HC107" s="214"/>
      <c r="HD107" s="214"/>
      <c r="HE107" s="214"/>
      <c r="HF107" s="214"/>
      <c r="HG107" s="214"/>
      <c r="HH107" s="214"/>
      <c r="HI107" s="214"/>
      <c r="HJ107" s="214"/>
      <c r="HK107" s="214"/>
      <c r="HL107" s="214"/>
      <c r="HM107" s="214"/>
      <c r="HN107" s="214"/>
      <c r="HO107" s="214"/>
      <c r="HP107" s="214"/>
      <c r="HQ107" s="214"/>
      <c r="HR107" s="214"/>
      <c r="HS107" s="214"/>
      <c r="HT107" s="214"/>
      <c r="HU107" s="214"/>
      <c r="HV107" s="214"/>
      <c r="HW107" s="214"/>
      <c r="HX107" s="214"/>
      <c r="HY107" s="214"/>
      <c r="HZ107" s="214"/>
      <c r="IA107" s="214"/>
      <c r="IB107" s="214"/>
      <c r="IC107" s="214"/>
      <c r="ID107" s="214"/>
      <c r="IE107" s="214"/>
      <c r="IF107" s="214"/>
      <c r="IG107" s="214"/>
      <c r="IH107" s="214"/>
      <c r="II107" s="214"/>
      <c r="IJ107" s="214"/>
      <c r="IK107" s="214"/>
      <c r="IL107" s="214"/>
      <c r="IM107" s="214"/>
      <c r="IN107" s="214"/>
      <c r="IO107" s="214"/>
      <c r="IP107" s="214"/>
      <c r="IQ107" s="214"/>
      <c r="IR107" s="214"/>
      <c r="IS107" s="214"/>
      <c r="IT107" s="214"/>
      <c r="IU107" s="214"/>
      <c r="IV107" s="214"/>
      <c r="IW107" s="214"/>
      <c r="IX107" s="214"/>
      <c r="IY107" s="214"/>
      <c r="IZ107" s="214"/>
      <c r="JA107" s="214"/>
      <c r="JB107" s="214"/>
      <c r="JC107" s="214"/>
      <c r="JD107" s="214"/>
      <c r="JE107" s="214"/>
      <c r="JF107" s="214"/>
      <c r="JG107" s="214"/>
      <c r="JH107" s="214"/>
      <c r="JI107" s="214"/>
    </row>
    <row r="108" spans="1:269">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c r="CG108" s="214"/>
      <c r="CH108" s="214"/>
      <c r="CI108" s="214"/>
      <c r="CJ108" s="214"/>
      <c r="CK108" s="214"/>
      <c r="CL108" s="214"/>
      <c r="CM108" s="214"/>
      <c r="CN108" s="214"/>
      <c r="CO108" s="214"/>
      <c r="CP108" s="214"/>
      <c r="CQ108" s="214"/>
      <c r="CR108" s="214"/>
      <c r="CS108" s="214"/>
      <c r="CT108" s="214"/>
      <c r="CU108" s="214"/>
      <c r="CV108" s="214"/>
      <c r="CW108" s="214"/>
      <c r="CX108" s="214"/>
      <c r="CY108" s="214"/>
      <c r="CZ108" s="214"/>
      <c r="DA108" s="214"/>
      <c r="DB108" s="214"/>
      <c r="DC108" s="214"/>
      <c r="DD108" s="214"/>
      <c r="DE108" s="214"/>
      <c r="DF108" s="214"/>
      <c r="DG108" s="214"/>
      <c r="DH108" s="214"/>
      <c r="DI108" s="214"/>
      <c r="DJ108" s="214"/>
      <c r="DK108" s="214"/>
      <c r="DL108" s="214"/>
      <c r="DM108" s="214"/>
      <c r="DN108" s="214"/>
      <c r="DO108" s="214"/>
      <c r="DP108" s="214"/>
      <c r="DQ108" s="214"/>
      <c r="DR108" s="214"/>
      <c r="DS108" s="214"/>
      <c r="DT108" s="214"/>
      <c r="DU108" s="214"/>
      <c r="DV108" s="214"/>
      <c r="DW108" s="214"/>
      <c r="DX108" s="214"/>
      <c r="DY108" s="214"/>
      <c r="DZ108" s="214"/>
      <c r="EA108" s="214"/>
      <c r="EB108" s="214"/>
      <c r="EC108" s="214"/>
      <c r="ED108" s="214"/>
      <c r="EE108" s="214"/>
      <c r="EF108" s="214"/>
      <c r="EG108" s="214"/>
      <c r="EH108" s="214"/>
      <c r="EI108" s="214"/>
      <c r="EJ108" s="214"/>
      <c r="EK108" s="214"/>
      <c r="EL108" s="214"/>
      <c r="EM108" s="214"/>
      <c r="EN108" s="214"/>
      <c r="EO108" s="214"/>
      <c r="EP108" s="214"/>
      <c r="EQ108" s="214"/>
      <c r="ER108" s="214"/>
      <c r="ES108" s="214"/>
      <c r="ET108" s="214"/>
      <c r="EU108" s="214"/>
      <c r="EV108" s="214"/>
      <c r="EW108" s="214"/>
      <c r="EX108" s="214"/>
      <c r="EY108" s="214"/>
      <c r="EZ108" s="214"/>
      <c r="FA108" s="214"/>
      <c r="FB108" s="214"/>
      <c r="FC108" s="214"/>
      <c r="FD108" s="214"/>
      <c r="FE108" s="214"/>
      <c r="FF108" s="214"/>
      <c r="FG108" s="214"/>
      <c r="FH108" s="214"/>
      <c r="FI108" s="214"/>
      <c r="FJ108" s="214"/>
      <c r="FK108" s="214"/>
      <c r="FL108" s="214"/>
      <c r="FM108" s="214"/>
      <c r="FN108" s="214"/>
      <c r="FO108" s="214"/>
      <c r="FP108" s="214"/>
      <c r="FQ108" s="214"/>
      <c r="FR108" s="214"/>
      <c r="FS108" s="214"/>
      <c r="FT108" s="214"/>
      <c r="FU108" s="214"/>
      <c r="FV108" s="214"/>
      <c r="FW108" s="214"/>
      <c r="FX108" s="214"/>
      <c r="FY108" s="214"/>
      <c r="FZ108" s="214"/>
      <c r="GA108" s="214"/>
      <c r="GB108" s="214"/>
      <c r="GC108" s="214"/>
      <c r="GD108" s="214"/>
      <c r="GE108" s="214"/>
      <c r="GF108" s="214"/>
      <c r="GG108" s="214"/>
      <c r="GH108" s="214"/>
      <c r="GI108" s="214"/>
      <c r="GJ108" s="214"/>
      <c r="GK108" s="214"/>
      <c r="GL108" s="214"/>
      <c r="GM108" s="214"/>
      <c r="GN108" s="214"/>
      <c r="GO108" s="214"/>
      <c r="GP108" s="214"/>
      <c r="GQ108" s="214"/>
      <c r="GR108" s="214"/>
      <c r="GS108" s="214"/>
      <c r="GT108" s="214"/>
      <c r="GU108" s="214"/>
      <c r="GV108" s="214"/>
      <c r="GW108" s="214"/>
      <c r="GX108" s="214"/>
      <c r="GY108" s="214"/>
      <c r="GZ108" s="214"/>
      <c r="HA108" s="214"/>
      <c r="HB108" s="214"/>
      <c r="HC108" s="214"/>
      <c r="HD108" s="214"/>
      <c r="HE108" s="214"/>
      <c r="HF108" s="214"/>
      <c r="HG108" s="214"/>
      <c r="HH108" s="214"/>
      <c r="HI108" s="214"/>
      <c r="HJ108" s="214"/>
      <c r="HK108" s="214"/>
      <c r="HL108" s="214"/>
      <c r="HM108" s="214"/>
      <c r="HN108" s="214"/>
      <c r="HO108" s="214"/>
      <c r="HP108" s="214"/>
      <c r="HQ108" s="214"/>
      <c r="HR108" s="214"/>
      <c r="HS108" s="214"/>
      <c r="HT108" s="214"/>
      <c r="HU108" s="214"/>
      <c r="HV108" s="214"/>
      <c r="HW108" s="214"/>
      <c r="HX108" s="214"/>
      <c r="HY108" s="214"/>
      <c r="HZ108" s="214"/>
      <c r="IA108" s="214"/>
      <c r="IB108" s="214"/>
      <c r="IC108" s="214"/>
      <c r="ID108" s="214"/>
      <c r="IE108" s="214"/>
      <c r="IF108" s="214"/>
      <c r="IG108" s="214"/>
      <c r="IH108" s="214"/>
      <c r="II108" s="214"/>
      <c r="IJ108" s="214"/>
      <c r="IK108" s="214"/>
      <c r="IL108" s="214"/>
      <c r="IM108" s="214"/>
      <c r="IN108" s="214"/>
      <c r="IO108" s="214"/>
      <c r="IP108" s="214"/>
      <c r="IQ108" s="214"/>
      <c r="IR108" s="214"/>
      <c r="IS108" s="214"/>
      <c r="IT108" s="214"/>
      <c r="IU108" s="214"/>
      <c r="IV108" s="214"/>
      <c r="IW108" s="214"/>
      <c r="IX108" s="214"/>
      <c r="IY108" s="214"/>
      <c r="IZ108" s="214"/>
      <c r="JA108" s="214"/>
      <c r="JB108" s="214"/>
      <c r="JC108" s="214"/>
      <c r="JD108" s="214"/>
      <c r="JE108" s="214"/>
      <c r="JF108" s="214"/>
      <c r="JG108" s="214"/>
      <c r="JH108" s="214"/>
      <c r="JI108" s="214"/>
    </row>
    <row r="109" spans="1:269">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c r="CG109" s="214"/>
      <c r="CH109" s="214"/>
      <c r="CI109" s="214"/>
      <c r="CJ109" s="214"/>
      <c r="CK109" s="214"/>
      <c r="CL109" s="214"/>
      <c r="CM109" s="214"/>
      <c r="CN109" s="214"/>
      <c r="CO109" s="214"/>
      <c r="CP109" s="214"/>
      <c r="CQ109" s="214"/>
      <c r="CR109" s="214"/>
      <c r="CS109" s="214"/>
      <c r="CT109" s="214"/>
      <c r="CU109" s="214"/>
      <c r="CV109" s="214"/>
      <c r="CW109" s="214"/>
      <c r="CX109" s="214"/>
      <c r="CY109" s="214"/>
      <c r="CZ109" s="214"/>
      <c r="DA109" s="214"/>
      <c r="DB109" s="214"/>
      <c r="DC109" s="214"/>
      <c r="DD109" s="214"/>
      <c r="DE109" s="214"/>
      <c r="DF109" s="214"/>
      <c r="DG109" s="214"/>
      <c r="DH109" s="214"/>
      <c r="DI109" s="214"/>
      <c r="DJ109" s="214"/>
      <c r="DK109" s="214"/>
      <c r="DL109" s="214"/>
      <c r="DM109" s="214"/>
      <c r="DN109" s="214"/>
      <c r="DO109" s="214"/>
      <c r="DP109" s="214"/>
      <c r="DQ109" s="214"/>
      <c r="DR109" s="214"/>
      <c r="DS109" s="214"/>
      <c r="DT109" s="214"/>
      <c r="DU109" s="214"/>
      <c r="DV109" s="214"/>
      <c r="DW109" s="214"/>
      <c r="DX109" s="214"/>
      <c r="DY109" s="214"/>
      <c r="DZ109" s="214"/>
      <c r="EA109" s="214"/>
      <c r="EB109" s="214"/>
      <c r="EC109" s="214"/>
      <c r="ED109" s="214"/>
      <c r="EE109" s="214"/>
      <c r="EF109" s="214"/>
      <c r="EG109" s="214"/>
      <c r="EH109" s="214"/>
      <c r="EI109" s="214"/>
      <c r="EJ109" s="214"/>
      <c r="EK109" s="214"/>
      <c r="EL109" s="214"/>
      <c r="EM109" s="214"/>
      <c r="EN109" s="214"/>
      <c r="EO109" s="214"/>
      <c r="EP109" s="214"/>
      <c r="EQ109" s="214"/>
      <c r="ER109" s="214"/>
      <c r="ES109" s="214"/>
      <c r="ET109" s="214"/>
      <c r="EU109" s="214"/>
      <c r="EV109" s="214"/>
      <c r="EW109" s="214"/>
      <c r="EX109" s="214"/>
      <c r="EY109" s="214"/>
      <c r="EZ109" s="214"/>
      <c r="FA109" s="214"/>
      <c r="FB109" s="214"/>
      <c r="FC109" s="214"/>
      <c r="FD109" s="214"/>
      <c r="FE109" s="214"/>
      <c r="FF109" s="214"/>
      <c r="FG109" s="214"/>
      <c r="FH109" s="214"/>
      <c r="FI109" s="214"/>
      <c r="FJ109" s="214"/>
      <c r="FK109" s="214"/>
      <c r="FL109" s="214"/>
      <c r="FM109" s="214"/>
      <c r="FN109" s="214"/>
      <c r="FO109" s="214"/>
      <c r="FP109" s="214"/>
      <c r="FQ109" s="214"/>
      <c r="FR109" s="214"/>
      <c r="FS109" s="214"/>
      <c r="FT109" s="214"/>
      <c r="FU109" s="214"/>
      <c r="FV109" s="214"/>
      <c r="FW109" s="214"/>
      <c r="FX109" s="214"/>
      <c r="FY109" s="214"/>
      <c r="FZ109" s="214"/>
      <c r="GA109" s="214"/>
      <c r="GB109" s="214"/>
      <c r="GC109" s="214"/>
      <c r="GD109" s="214"/>
      <c r="GE109" s="214"/>
      <c r="GF109" s="214"/>
      <c r="GG109" s="214"/>
      <c r="GH109" s="214"/>
      <c r="GI109" s="214"/>
      <c r="GJ109" s="214"/>
      <c r="GK109" s="214"/>
      <c r="GL109" s="214"/>
      <c r="GM109" s="214"/>
      <c r="GN109" s="214"/>
      <c r="GO109" s="214"/>
      <c r="GP109" s="214"/>
      <c r="GQ109" s="214"/>
      <c r="GR109" s="214"/>
      <c r="GS109" s="214"/>
      <c r="GT109" s="214"/>
      <c r="GU109" s="214"/>
      <c r="GV109" s="214"/>
      <c r="GW109" s="214"/>
      <c r="GX109" s="214"/>
      <c r="GY109" s="214"/>
      <c r="GZ109" s="214"/>
      <c r="HA109" s="214"/>
      <c r="HB109" s="214"/>
      <c r="HC109" s="214"/>
      <c r="HD109" s="214"/>
      <c r="HE109" s="214"/>
      <c r="HF109" s="214"/>
      <c r="HG109" s="214"/>
      <c r="HH109" s="214"/>
      <c r="HI109" s="214"/>
      <c r="HJ109" s="214"/>
      <c r="HK109" s="214"/>
      <c r="HL109" s="214"/>
      <c r="HM109" s="214"/>
      <c r="HN109" s="214"/>
      <c r="HO109" s="214"/>
      <c r="HP109" s="214"/>
      <c r="HQ109" s="214"/>
      <c r="HR109" s="214"/>
      <c r="HS109" s="214"/>
      <c r="HT109" s="214"/>
      <c r="HU109" s="214"/>
      <c r="HV109" s="214"/>
      <c r="HW109" s="214"/>
      <c r="HX109" s="214"/>
      <c r="HY109" s="214"/>
      <c r="HZ109" s="214"/>
      <c r="IA109" s="214"/>
      <c r="IB109" s="214"/>
      <c r="IC109" s="214"/>
      <c r="ID109" s="214"/>
      <c r="IE109" s="214"/>
      <c r="IF109" s="214"/>
      <c r="IG109" s="214"/>
      <c r="IH109" s="214"/>
      <c r="II109" s="214"/>
      <c r="IJ109" s="214"/>
      <c r="IK109" s="214"/>
      <c r="IL109" s="214"/>
      <c r="IM109" s="214"/>
      <c r="IN109" s="214"/>
      <c r="IO109" s="214"/>
      <c r="IP109" s="214"/>
      <c r="IQ109" s="214"/>
      <c r="IR109" s="214"/>
      <c r="IS109" s="214"/>
      <c r="IT109" s="214"/>
      <c r="IU109" s="214"/>
      <c r="IV109" s="214"/>
      <c r="IW109" s="214"/>
      <c r="IX109" s="214"/>
      <c r="IY109" s="214"/>
      <c r="IZ109" s="214"/>
      <c r="JA109" s="214"/>
      <c r="JB109" s="214"/>
      <c r="JC109" s="214"/>
      <c r="JD109" s="214"/>
      <c r="JE109" s="214"/>
      <c r="JF109" s="214"/>
      <c r="JG109" s="214"/>
      <c r="JH109" s="214"/>
      <c r="JI109" s="214"/>
    </row>
    <row r="110" spans="1:269">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c r="CG110" s="214"/>
      <c r="CH110" s="214"/>
      <c r="CI110" s="214"/>
      <c r="CJ110" s="214"/>
      <c r="CK110" s="214"/>
      <c r="CL110" s="214"/>
      <c r="CM110" s="214"/>
      <c r="CN110" s="214"/>
      <c r="CO110" s="214"/>
      <c r="CP110" s="214"/>
      <c r="CQ110" s="214"/>
      <c r="CR110" s="214"/>
      <c r="CS110" s="214"/>
      <c r="CT110" s="214"/>
      <c r="CU110" s="214"/>
      <c r="CV110" s="214"/>
      <c r="CW110" s="214"/>
      <c r="CX110" s="214"/>
      <c r="CY110" s="214"/>
      <c r="CZ110" s="214"/>
      <c r="DA110" s="214"/>
      <c r="DB110" s="214"/>
      <c r="DC110" s="214"/>
      <c r="DD110" s="214"/>
      <c r="DE110" s="214"/>
      <c r="DF110" s="214"/>
      <c r="DG110" s="214"/>
      <c r="DH110" s="214"/>
      <c r="DI110" s="214"/>
      <c r="DJ110" s="214"/>
      <c r="DK110" s="214"/>
      <c r="DL110" s="214"/>
      <c r="DM110" s="214"/>
      <c r="DN110" s="214"/>
      <c r="DO110" s="214"/>
      <c r="DP110" s="214"/>
      <c r="DQ110" s="214"/>
      <c r="DR110" s="214"/>
      <c r="DS110" s="214"/>
      <c r="DT110" s="214"/>
      <c r="DU110" s="214"/>
      <c r="DV110" s="214"/>
      <c r="DW110" s="214"/>
      <c r="DX110" s="214"/>
      <c r="DY110" s="214"/>
      <c r="DZ110" s="214"/>
      <c r="EA110" s="214"/>
      <c r="EB110" s="214"/>
      <c r="EC110" s="214"/>
      <c r="ED110" s="214"/>
      <c r="EE110" s="214"/>
      <c r="EF110" s="214"/>
      <c r="EG110" s="214"/>
      <c r="EH110" s="214"/>
      <c r="EI110" s="214"/>
      <c r="EJ110" s="214"/>
      <c r="EK110" s="214"/>
      <c r="EL110" s="214"/>
      <c r="EM110" s="214"/>
      <c r="EN110" s="214"/>
      <c r="EO110" s="214"/>
      <c r="EP110" s="214"/>
      <c r="EQ110" s="214"/>
      <c r="ER110" s="214"/>
      <c r="ES110" s="214"/>
      <c r="ET110" s="214"/>
      <c r="EU110" s="214"/>
      <c r="EV110" s="214"/>
      <c r="EW110" s="214"/>
      <c r="EX110" s="214"/>
      <c r="EY110" s="214"/>
      <c r="EZ110" s="214"/>
      <c r="FA110" s="214"/>
      <c r="FB110" s="214"/>
      <c r="FC110" s="214"/>
      <c r="FD110" s="214"/>
      <c r="FE110" s="214"/>
      <c r="FF110" s="214"/>
      <c r="FG110" s="214"/>
      <c r="FH110" s="214"/>
      <c r="FI110" s="214"/>
      <c r="FJ110" s="214"/>
      <c r="FK110" s="214"/>
      <c r="FL110" s="214"/>
      <c r="FM110" s="214"/>
      <c r="FN110" s="214"/>
      <c r="FO110" s="214"/>
      <c r="FP110" s="214"/>
      <c r="FQ110" s="214"/>
      <c r="FR110" s="214"/>
      <c r="FS110" s="214"/>
      <c r="FT110" s="214"/>
      <c r="FU110" s="214"/>
      <c r="FV110" s="214"/>
      <c r="FW110" s="214"/>
      <c r="FX110" s="214"/>
      <c r="FY110" s="214"/>
      <c r="FZ110" s="214"/>
      <c r="GA110" s="214"/>
      <c r="GB110" s="214"/>
      <c r="GC110" s="214"/>
      <c r="GD110" s="214"/>
      <c r="GE110" s="214"/>
      <c r="GF110" s="214"/>
      <c r="GG110" s="214"/>
      <c r="GH110" s="214"/>
      <c r="GI110" s="214"/>
      <c r="GJ110" s="214"/>
      <c r="GK110" s="214"/>
      <c r="GL110" s="214"/>
      <c r="GM110" s="214"/>
      <c r="GN110" s="214"/>
      <c r="GO110" s="214"/>
      <c r="GP110" s="214"/>
      <c r="GQ110" s="214"/>
      <c r="GR110" s="214"/>
      <c r="GS110" s="214"/>
      <c r="GT110" s="214"/>
      <c r="GU110" s="214"/>
      <c r="GV110" s="214"/>
      <c r="GW110" s="214"/>
      <c r="GX110" s="214"/>
      <c r="GY110" s="214"/>
      <c r="GZ110" s="214"/>
      <c r="HA110" s="214"/>
      <c r="HB110" s="214"/>
      <c r="HC110" s="214"/>
      <c r="HD110" s="214"/>
      <c r="HE110" s="214"/>
      <c r="HF110" s="214"/>
      <c r="HG110" s="214"/>
      <c r="HH110" s="214"/>
      <c r="HI110" s="214"/>
      <c r="HJ110" s="214"/>
      <c r="HK110" s="214"/>
      <c r="HL110" s="214"/>
      <c r="HM110" s="214"/>
      <c r="HN110" s="214"/>
      <c r="HO110" s="214"/>
      <c r="HP110" s="214"/>
      <c r="HQ110" s="214"/>
      <c r="HR110" s="214"/>
      <c r="HS110" s="214"/>
      <c r="HT110" s="214"/>
      <c r="HU110" s="214"/>
      <c r="HV110" s="214"/>
      <c r="HW110" s="214"/>
      <c r="HX110" s="214"/>
      <c r="HY110" s="214"/>
      <c r="HZ110" s="214"/>
      <c r="IA110" s="214"/>
      <c r="IB110" s="214"/>
      <c r="IC110" s="214"/>
      <c r="ID110" s="214"/>
      <c r="IE110" s="214"/>
      <c r="IF110" s="214"/>
      <c r="IG110" s="214"/>
      <c r="IH110" s="214"/>
      <c r="II110" s="214"/>
      <c r="IJ110" s="214"/>
      <c r="IK110" s="214"/>
      <c r="IL110" s="214"/>
      <c r="IM110" s="214"/>
      <c r="IN110" s="214"/>
      <c r="IO110" s="214"/>
      <c r="IP110" s="214"/>
      <c r="IQ110" s="214"/>
      <c r="IR110" s="214"/>
      <c r="IS110" s="214"/>
      <c r="IT110" s="214"/>
      <c r="IU110" s="214"/>
      <c r="IV110" s="214"/>
      <c r="IW110" s="214"/>
      <c r="IX110" s="214"/>
      <c r="IY110" s="214"/>
      <c r="IZ110" s="214"/>
      <c r="JA110" s="214"/>
      <c r="JB110" s="214"/>
      <c r="JC110" s="214"/>
      <c r="JD110" s="214"/>
      <c r="JE110" s="214"/>
      <c r="JF110" s="214"/>
      <c r="JG110" s="214"/>
      <c r="JH110" s="214"/>
      <c r="JI110" s="214"/>
    </row>
    <row r="111" spans="1:269">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c r="CG111" s="214"/>
      <c r="CH111" s="214"/>
      <c r="CI111" s="214"/>
      <c r="CJ111" s="214"/>
      <c r="CK111" s="214"/>
      <c r="CL111" s="214"/>
      <c r="CM111" s="214"/>
      <c r="CN111" s="214"/>
      <c r="CO111" s="214"/>
      <c r="CP111" s="214"/>
      <c r="CQ111" s="214"/>
      <c r="CR111" s="214"/>
      <c r="CS111" s="214"/>
      <c r="CT111" s="214"/>
      <c r="CU111" s="214"/>
      <c r="CV111" s="214"/>
      <c r="CW111" s="214"/>
      <c r="CX111" s="214"/>
      <c r="CY111" s="214"/>
      <c r="CZ111" s="214"/>
      <c r="DA111" s="214"/>
      <c r="DB111" s="214"/>
      <c r="DC111" s="214"/>
      <c r="DD111" s="214"/>
      <c r="DE111" s="214"/>
      <c r="DF111" s="214"/>
      <c r="DG111" s="214"/>
      <c r="DH111" s="214"/>
      <c r="DI111" s="214"/>
      <c r="DJ111" s="214"/>
      <c r="DK111" s="214"/>
      <c r="DL111" s="214"/>
      <c r="DM111" s="214"/>
      <c r="DN111" s="214"/>
      <c r="DO111" s="214"/>
      <c r="DP111" s="214"/>
      <c r="DQ111" s="214"/>
      <c r="DR111" s="214"/>
      <c r="DS111" s="214"/>
      <c r="DT111" s="214"/>
      <c r="DU111" s="214"/>
      <c r="DV111" s="214"/>
      <c r="DW111" s="214"/>
      <c r="DX111" s="214"/>
      <c r="DY111" s="214"/>
      <c r="DZ111" s="214"/>
      <c r="EA111" s="214"/>
      <c r="EB111" s="214"/>
      <c r="EC111" s="214"/>
      <c r="ED111" s="214"/>
      <c r="EE111" s="214"/>
      <c r="EF111" s="214"/>
      <c r="EG111" s="214"/>
      <c r="EH111" s="214"/>
      <c r="EI111" s="214"/>
      <c r="EJ111" s="214"/>
      <c r="EK111" s="214"/>
      <c r="EL111" s="214"/>
      <c r="EM111" s="214"/>
      <c r="EN111" s="214"/>
      <c r="EO111" s="214"/>
      <c r="EP111" s="214"/>
      <c r="EQ111" s="214"/>
      <c r="ER111" s="214"/>
      <c r="ES111" s="214"/>
      <c r="ET111" s="214"/>
      <c r="EU111" s="214"/>
      <c r="EV111" s="214"/>
      <c r="EW111" s="214"/>
      <c r="EX111" s="214"/>
      <c r="EY111" s="214"/>
      <c r="EZ111" s="214"/>
      <c r="FA111" s="214"/>
      <c r="FB111" s="214"/>
      <c r="FC111" s="214"/>
      <c r="FD111" s="214"/>
      <c r="FE111" s="214"/>
      <c r="FF111" s="214"/>
      <c r="FG111" s="214"/>
      <c r="FH111" s="214"/>
      <c r="FI111" s="214"/>
      <c r="FJ111" s="214"/>
      <c r="FK111" s="214"/>
      <c r="FL111" s="214"/>
      <c r="FM111" s="214"/>
      <c r="FN111" s="214"/>
      <c r="FO111" s="214"/>
      <c r="FP111" s="214"/>
      <c r="FQ111" s="214"/>
      <c r="FR111" s="214"/>
      <c r="FS111" s="214"/>
      <c r="FT111" s="214"/>
      <c r="FU111" s="214"/>
      <c r="FV111" s="214"/>
      <c r="FW111" s="214"/>
      <c r="FX111" s="214"/>
      <c r="FY111" s="214"/>
      <c r="FZ111" s="214"/>
      <c r="GA111" s="214"/>
      <c r="GB111" s="214"/>
      <c r="GC111" s="214"/>
      <c r="GD111" s="214"/>
      <c r="GE111" s="214"/>
      <c r="GF111" s="214"/>
      <c r="GG111" s="214"/>
      <c r="GH111" s="214"/>
      <c r="GI111" s="214"/>
      <c r="GJ111" s="214"/>
      <c r="GK111" s="214"/>
      <c r="GL111" s="214"/>
      <c r="GM111" s="214"/>
      <c r="GN111" s="214"/>
      <c r="GO111" s="214"/>
      <c r="GP111" s="214"/>
      <c r="GQ111" s="214"/>
      <c r="GR111" s="214"/>
      <c r="GS111" s="214"/>
      <c r="GT111" s="214"/>
      <c r="GU111" s="214"/>
      <c r="GV111" s="214"/>
      <c r="GW111" s="214"/>
      <c r="GX111" s="214"/>
      <c r="GY111" s="214"/>
      <c r="GZ111" s="214"/>
      <c r="HA111" s="214"/>
      <c r="HB111" s="214"/>
      <c r="HC111" s="214"/>
      <c r="HD111" s="214"/>
      <c r="HE111" s="214"/>
      <c r="HF111" s="214"/>
      <c r="HG111" s="214"/>
      <c r="HH111" s="214"/>
      <c r="HI111" s="214"/>
      <c r="HJ111" s="214"/>
      <c r="HK111" s="214"/>
      <c r="HL111" s="214"/>
      <c r="HM111" s="214"/>
      <c r="HN111" s="214"/>
      <c r="HO111" s="214"/>
      <c r="HP111" s="214"/>
      <c r="HQ111" s="214"/>
      <c r="HR111" s="214"/>
      <c r="HS111" s="214"/>
      <c r="HT111" s="214"/>
      <c r="HU111" s="214"/>
      <c r="HV111" s="214"/>
      <c r="HW111" s="214"/>
      <c r="HX111" s="214"/>
      <c r="HY111" s="214"/>
      <c r="HZ111" s="214"/>
      <c r="IA111" s="214"/>
      <c r="IB111" s="214"/>
      <c r="IC111" s="214"/>
      <c r="ID111" s="214"/>
      <c r="IE111" s="214"/>
      <c r="IF111" s="214"/>
      <c r="IG111" s="214"/>
      <c r="IH111" s="214"/>
      <c r="II111" s="214"/>
      <c r="IJ111" s="214"/>
      <c r="IK111" s="214"/>
      <c r="IL111" s="214"/>
      <c r="IM111" s="214"/>
      <c r="IN111" s="214"/>
      <c r="IO111" s="214"/>
      <c r="IP111" s="214"/>
      <c r="IQ111" s="214"/>
      <c r="IR111" s="214"/>
      <c r="IS111" s="214"/>
      <c r="IT111" s="214"/>
      <c r="IU111" s="214"/>
      <c r="IV111" s="214"/>
      <c r="IW111" s="214"/>
      <c r="IX111" s="214"/>
      <c r="IY111" s="214"/>
      <c r="IZ111" s="214"/>
      <c r="JA111" s="214"/>
      <c r="JB111" s="214"/>
      <c r="JC111" s="214"/>
      <c r="JD111" s="214"/>
      <c r="JE111" s="214"/>
      <c r="JF111" s="214"/>
      <c r="JG111" s="214"/>
      <c r="JH111" s="214"/>
      <c r="JI111" s="214"/>
    </row>
    <row r="112" spans="1:269">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c r="CG112" s="214"/>
      <c r="CH112" s="214"/>
      <c r="CI112" s="214"/>
      <c r="CJ112" s="214"/>
      <c r="CK112" s="214"/>
      <c r="CL112" s="214"/>
      <c r="CM112" s="214"/>
      <c r="CN112" s="214"/>
      <c r="CO112" s="214"/>
      <c r="CP112" s="214"/>
      <c r="CQ112" s="214"/>
      <c r="CR112" s="214"/>
      <c r="CS112" s="214"/>
      <c r="CT112" s="214"/>
      <c r="CU112" s="214"/>
      <c r="CV112" s="214"/>
      <c r="CW112" s="214"/>
      <c r="CX112" s="214"/>
      <c r="CY112" s="214"/>
      <c r="CZ112" s="214"/>
      <c r="DA112" s="214"/>
      <c r="DB112" s="214"/>
      <c r="DC112" s="214"/>
      <c r="DD112" s="214"/>
      <c r="DE112" s="214"/>
      <c r="DF112" s="214"/>
      <c r="DG112" s="214"/>
      <c r="DH112" s="214"/>
      <c r="DI112" s="214"/>
      <c r="DJ112" s="214"/>
      <c r="DK112" s="214"/>
      <c r="DL112" s="214"/>
      <c r="DM112" s="214"/>
      <c r="DN112" s="214"/>
      <c r="DO112" s="214"/>
      <c r="DP112" s="214"/>
      <c r="DQ112" s="214"/>
      <c r="DR112" s="214"/>
      <c r="DS112" s="214"/>
      <c r="DT112" s="214"/>
      <c r="DU112" s="214"/>
      <c r="DV112" s="214"/>
      <c r="DW112" s="214"/>
      <c r="DX112" s="214"/>
      <c r="DY112" s="214"/>
      <c r="DZ112" s="214"/>
      <c r="EA112" s="214"/>
      <c r="EB112" s="214"/>
      <c r="EC112" s="214"/>
      <c r="ED112" s="214"/>
      <c r="EE112" s="214"/>
      <c r="EF112" s="214"/>
      <c r="EG112" s="214"/>
      <c r="EH112" s="214"/>
      <c r="EI112" s="214"/>
      <c r="EJ112" s="214"/>
      <c r="EK112" s="214"/>
      <c r="EL112" s="214"/>
      <c r="EM112" s="214"/>
      <c r="EN112" s="214"/>
      <c r="EO112" s="214"/>
      <c r="EP112" s="214"/>
      <c r="EQ112" s="214"/>
      <c r="ER112" s="214"/>
      <c r="ES112" s="214"/>
      <c r="ET112" s="214"/>
      <c r="EU112" s="214"/>
      <c r="EV112" s="214"/>
      <c r="EW112" s="214"/>
      <c r="EX112" s="214"/>
      <c r="EY112" s="214"/>
      <c r="EZ112" s="214"/>
      <c r="FA112" s="214"/>
      <c r="FB112" s="214"/>
      <c r="FC112" s="214"/>
      <c r="FD112" s="214"/>
      <c r="FE112" s="214"/>
      <c r="FF112" s="214"/>
      <c r="FG112" s="214"/>
      <c r="FH112" s="214"/>
      <c r="FI112" s="214"/>
      <c r="FJ112" s="214"/>
      <c r="FK112" s="214"/>
      <c r="FL112" s="214"/>
      <c r="FM112" s="214"/>
      <c r="FN112" s="214"/>
      <c r="FO112" s="214"/>
      <c r="FP112" s="214"/>
      <c r="FQ112" s="214"/>
      <c r="FR112" s="214"/>
      <c r="FS112" s="214"/>
      <c r="FT112" s="214"/>
      <c r="FU112" s="214"/>
      <c r="FV112" s="214"/>
      <c r="FW112" s="214"/>
      <c r="FX112" s="214"/>
      <c r="FY112" s="214"/>
      <c r="FZ112" s="214"/>
      <c r="GA112" s="214"/>
      <c r="GB112" s="214"/>
      <c r="GC112" s="214"/>
      <c r="GD112" s="214"/>
      <c r="GE112" s="214"/>
      <c r="GF112" s="214"/>
      <c r="GG112" s="214"/>
      <c r="GH112" s="214"/>
      <c r="GI112" s="214"/>
      <c r="GJ112" s="214"/>
      <c r="GK112" s="214"/>
      <c r="GL112" s="214"/>
      <c r="GM112" s="214"/>
      <c r="GN112" s="214"/>
      <c r="GO112" s="214"/>
      <c r="GP112" s="214"/>
      <c r="GQ112" s="214"/>
      <c r="GR112" s="214"/>
      <c r="GS112" s="214"/>
      <c r="GT112" s="214"/>
      <c r="GU112" s="214"/>
      <c r="GV112" s="214"/>
      <c r="GW112" s="214"/>
      <c r="GX112" s="214"/>
      <c r="GY112" s="214"/>
      <c r="GZ112" s="214"/>
      <c r="HA112" s="214"/>
      <c r="HB112" s="214"/>
      <c r="HC112" s="214"/>
      <c r="HD112" s="214"/>
      <c r="HE112" s="214"/>
      <c r="HF112" s="214"/>
      <c r="HG112" s="214"/>
      <c r="HH112" s="214"/>
      <c r="HI112" s="214"/>
      <c r="HJ112" s="214"/>
      <c r="HK112" s="214"/>
      <c r="HL112" s="214"/>
      <c r="HM112" s="214"/>
      <c r="HN112" s="214"/>
      <c r="HO112" s="214"/>
      <c r="HP112" s="214"/>
      <c r="HQ112" s="214"/>
      <c r="HR112" s="214"/>
      <c r="HS112" s="214"/>
      <c r="HT112" s="214"/>
      <c r="HU112" s="214"/>
      <c r="HV112" s="214"/>
      <c r="HW112" s="214"/>
      <c r="HX112" s="214"/>
      <c r="HY112" s="214"/>
      <c r="HZ112" s="214"/>
      <c r="IA112" s="214"/>
      <c r="IB112" s="214"/>
      <c r="IC112" s="214"/>
      <c r="ID112" s="214"/>
      <c r="IE112" s="214"/>
      <c r="IF112" s="214"/>
      <c r="IG112" s="214"/>
      <c r="IH112" s="214"/>
      <c r="II112" s="214"/>
      <c r="IJ112" s="214"/>
      <c r="IK112" s="214"/>
      <c r="IL112" s="214"/>
      <c r="IM112" s="214"/>
      <c r="IN112" s="214"/>
      <c r="IO112" s="214"/>
      <c r="IP112" s="214"/>
      <c r="IQ112" s="214"/>
      <c r="IR112" s="214"/>
      <c r="IS112" s="214"/>
      <c r="IT112" s="214"/>
      <c r="IU112" s="214"/>
      <c r="IV112" s="214"/>
      <c r="IW112" s="214"/>
      <c r="IX112" s="214"/>
      <c r="IY112" s="214"/>
      <c r="IZ112" s="214"/>
      <c r="JA112" s="214"/>
      <c r="JB112" s="214"/>
      <c r="JC112" s="214"/>
      <c r="JD112" s="214"/>
      <c r="JE112" s="214"/>
      <c r="JF112" s="214"/>
      <c r="JG112" s="214"/>
      <c r="JH112" s="214"/>
      <c r="JI112" s="214"/>
    </row>
    <row r="113" spans="1:269">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c r="CG113" s="214"/>
      <c r="CH113" s="214"/>
      <c r="CI113" s="214"/>
      <c r="CJ113" s="214"/>
      <c r="CK113" s="214"/>
      <c r="CL113" s="214"/>
      <c r="CM113" s="214"/>
      <c r="CN113" s="214"/>
      <c r="CO113" s="214"/>
      <c r="CP113" s="214"/>
      <c r="CQ113" s="214"/>
      <c r="CR113" s="214"/>
      <c r="CS113" s="214"/>
      <c r="CT113" s="214"/>
      <c r="CU113" s="214"/>
      <c r="CV113" s="214"/>
      <c r="CW113" s="214"/>
      <c r="CX113" s="214"/>
      <c r="CY113" s="214"/>
      <c r="CZ113" s="214"/>
      <c r="DA113" s="214"/>
      <c r="DB113" s="214"/>
      <c r="DC113" s="214"/>
      <c r="DD113" s="214"/>
      <c r="DE113" s="214"/>
      <c r="DF113" s="214"/>
      <c r="DG113" s="214"/>
      <c r="DH113" s="214"/>
      <c r="DI113" s="214"/>
      <c r="DJ113" s="214"/>
      <c r="DK113" s="214"/>
      <c r="DL113" s="214"/>
      <c r="DM113" s="214"/>
      <c r="DN113" s="214"/>
      <c r="DO113" s="214"/>
      <c r="DP113" s="214"/>
      <c r="DQ113" s="214"/>
      <c r="DR113" s="214"/>
      <c r="DS113" s="214"/>
      <c r="DT113" s="214"/>
      <c r="DU113" s="214"/>
      <c r="DV113" s="214"/>
      <c r="DW113" s="214"/>
      <c r="DX113" s="214"/>
      <c r="DY113" s="214"/>
      <c r="DZ113" s="214"/>
      <c r="EA113" s="214"/>
      <c r="EB113" s="214"/>
      <c r="EC113" s="214"/>
      <c r="ED113" s="214"/>
      <c r="EE113" s="214"/>
      <c r="EF113" s="214"/>
      <c r="EG113" s="214"/>
      <c r="EH113" s="214"/>
      <c r="EI113" s="214"/>
      <c r="EJ113" s="214"/>
      <c r="EK113" s="214"/>
      <c r="EL113" s="214"/>
      <c r="EM113" s="214"/>
      <c r="EN113" s="214"/>
      <c r="EO113" s="214"/>
      <c r="EP113" s="214"/>
      <c r="EQ113" s="214"/>
      <c r="ER113" s="214"/>
      <c r="ES113" s="214"/>
      <c r="ET113" s="214"/>
      <c r="EU113" s="214"/>
      <c r="EV113" s="214"/>
      <c r="EW113" s="214"/>
      <c r="EX113" s="214"/>
      <c r="EY113" s="214"/>
      <c r="EZ113" s="214"/>
      <c r="FA113" s="214"/>
      <c r="FB113" s="214"/>
      <c r="FC113" s="214"/>
      <c r="FD113" s="214"/>
      <c r="FE113" s="214"/>
      <c r="FF113" s="214"/>
      <c r="FG113" s="214"/>
      <c r="FH113" s="214"/>
      <c r="FI113" s="214"/>
      <c r="FJ113" s="214"/>
      <c r="FK113" s="214"/>
      <c r="FL113" s="214"/>
      <c r="FM113" s="214"/>
      <c r="FN113" s="214"/>
      <c r="FO113" s="214"/>
      <c r="FP113" s="214"/>
      <c r="FQ113" s="214"/>
      <c r="FR113" s="214"/>
      <c r="FS113" s="214"/>
      <c r="FT113" s="214"/>
      <c r="FU113" s="214"/>
      <c r="FV113" s="214"/>
      <c r="FW113" s="214"/>
      <c r="FX113" s="214"/>
      <c r="FY113" s="214"/>
      <c r="FZ113" s="214"/>
      <c r="GA113" s="214"/>
      <c r="GB113" s="214"/>
      <c r="GC113" s="214"/>
      <c r="GD113" s="214"/>
      <c r="GE113" s="214"/>
      <c r="GF113" s="214"/>
      <c r="GG113" s="214"/>
      <c r="GH113" s="214"/>
      <c r="GI113" s="214"/>
      <c r="GJ113" s="214"/>
      <c r="GK113" s="214"/>
      <c r="GL113" s="214"/>
      <c r="GM113" s="214"/>
      <c r="GN113" s="214"/>
      <c r="GO113" s="214"/>
      <c r="GP113" s="214"/>
      <c r="GQ113" s="214"/>
      <c r="GR113" s="214"/>
      <c r="GS113" s="214"/>
      <c r="GT113" s="214"/>
      <c r="GU113" s="214"/>
      <c r="GV113" s="214"/>
      <c r="GW113" s="214"/>
      <c r="GX113" s="214"/>
      <c r="GY113" s="214"/>
      <c r="GZ113" s="214"/>
      <c r="HA113" s="214"/>
      <c r="HB113" s="214"/>
      <c r="HC113" s="214"/>
      <c r="HD113" s="214"/>
      <c r="HE113" s="214"/>
      <c r="HF113" s="214"/>
      <c r="HG113" s="214"/>
      <c r="HH113" s="214"/>
      <c r="HI113" s="214"/>
      <c r="HJ113" s="214"/>
      <c r="HK113" s="214"/>
      <c r="HL113" s="214"/>
      <c r="HM113" s="214"/>
      <c r="HN113" s="214"/>
      <c r="HO113" s="214"/>
      <c r="HP113" s="214"/>
      <c r="HQ113" s="214"/>
      <c r="HR113" s="214"/>
      <c r="HS113" s="214"/>
      <c r="HT113" s="214"/>
      <c r="HU113" s="214"/>
      <c r="HV113" s="214"/>
      <c r="HW113" s="214"/>
      <c r="HX113" s="214"/>
      <c r="HY113" s="214"/>
      <c r="HZ113" s="214"/>
      <c r="IA113" s="214"/>
      <c r="IB113" s="214"/>
      <c r="IC113" s="214"/>
      <c r="ID113" s="214"/>
      <c r="IE113" s="214"/>
      <c r="IF113" s="214"/>
      <c r="IG113" s="214"/>
      <c r="IH113" s="214"/>
      <c r="II113" s="214"/>
      <c r="IJ113" s="214"/>
      <c r="IK113" s="214"/>
      <c r="IL113" s="214"/>
      <c r="IM113" s="214"/>
      <c r="IN113" s="214"/>
      <c r="IO113" s="214"/>
      <c r="IP113" s="214"/>
      <c r="IQ113" s="214"/>
      <c r="IR113" s="214"/>
      <c r="IS113" s="214"/>
      <c r="IT113" s="214"/>
      <c r="IU113" s="214"/>
      <c r="IV113" s="214"/>
      <c r="IW113" s="214"/>
      <c r="IX113" s="214"/>
      <c r="IY113" s="214"/>
      <c r="IZ113" s="214"/>
      <c r="JA113" s="214"/>
      <c r="JB113" s="214"/>
      <c r="JC113" s="214"/>
      <c r="JD113" s="214"/>
      <c r="JE113" s="214"/>
      <c r="JF113" s="214"/>
      <c r="JG113" s="214"/>
      <c r="JH113" s="214"/>
      <c r="JI113" s="214"/>
    </row>
    <row r="114" spans="1:269">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c r="CG114" s="214"/>
      <c r="CH114" s="214"/>
      <c r="CI114" s="214"/>
      <c r="CJ114" s="214"/>
      <c r="CK114" s="214"/>
      <c r="CL114" s="214"/>
      <c r="CM114" s="214"/>
      <c r="CN114" s="214"/>
      <c r="CO114" s="214"/>
      <c r="CP114" s="214"/>
      <c r="CQ114" s="214"/>
      <c r="CR114" s="214"/>
      <c r="CS114" s="214"/>
      <c r="CT114" s="214"/>
      <c r="CU114" s="214"/>
      <c r="CV114" s="214"/>
      <c r="CW114" s="214"/>
      <c r="CX114" s="214"/>
      <c r="CY114" s="214"/>
      <c r="CZ114" s="214"/>
      <c r="DA114" s="214"/>
      <c r="DB114" s="214"/>
      <c r="DC114" s="214"/>
      <c r="DD114" s="214"/>
      <c r="DE114" s="214"/>
      <c r="DF114" s="214"/>
      <c r="DG114" s="214"/>
      <c r="DH114" s="214"/>
      <c r="DI114" s="214"/>
      <c r="DJ114" s="214"/>
      <c r="DK114" s="214"/>
      <c r="DL114" s="214"/>
      <c r="DM114" s="214"/>
      <c r="DN114" s="214"/>
      <c r="DO114" s="214"/>
      <c r="DP114" s="214"/>
      <c r="DQ114" s="214"/>
      <c r="DR114" s="214"/>
      <c r="DS114" s="214"/>
      <c r="DT114" s="214"/>
      <c r="DU114" s="214"/>
      <c r="DV114" s="214"/>
      <c r="DW114" s="214"/>
      <c r="DX114" s="214"/>
      <c r="DY114" s="214"/>
      <c r="DZ114" s="214"/>
      <c r="EA114" s="214"/>
      <c r="EB114" s="214"/>
      <c r="EC114" s="214"/>
      <c r="ED114" s="214"/>
      <c r="EE114" s="214"/>
      <c r="EF114" s="214"/>
      <c r="EG114" s="214"/>
      <c r="EH114" s="214"/>
      <c r="EI114" s="214"/>
      <c r="EJ114" s="214"/>
      <c r="EK114" s="214"/>
      <c r="EL114" s="214"/>
      <c r="EM114" s="214"/>
      <c r="EN114" s="214"/>
      <c r="EO114" s="214"/>
      <c r="EP114" s="214"/>
      <c r="EQ114" s="214"/>
      <c r="ER114" s="214"/>
      <c r="ES114" s="214"/>
      <c r="ET114" s="214"/>
      <c r="EU114" s="214"/>
      <c r="EV114" s="214"/>
      <c r="EW114" s="214"/>
      <c r="EX114" s="214"/>
      <c r="EY114" s="214"/>
      <c r="EZ114" s="214"/>
      <c r="FA114" s="214"/>
      <c r="FB114" s="214"/>
      <c r="FC114" s="214"/>
      <c r="FD114" s="214"/>
      <c r="FE114" s="214"/>
      <c r="FF114" s="214"/>
      <c r="FG114" s="214"/>
      <c r="FH114" s="214"/>
      <c r="FI114" s="214"/>
      <c r="FJ114" s="214"/>
      <c r="FK114" s="214"/>
      <c r="FL114" s="214"/>
      <c r="FM114" s="214"/>
      <c r="FN114" s="214"/>
      <c r="FO114" s="214"/>
      <c r="FP114" s="214"/>
      <c r="FQ114" s="214"/>
      <c r="FR114" s="214"/>
      <c r="FS114" s="214"/>
      <c r="FT114" s="214"/>
      <c r="FU114" s="214"/>
      <c r="FV114" s="214"/>
      <c r="FW114" s="214"/>
      <c r="FX114" s="214"/>
      <c r="FY114" s="214"/>
      <c r="FZ114" s="214"/>
      <c r="GA114" s="214"/>
      <c r="GB114" s="214"/>
      <c r="GC114" s="214"/>
      <c r="GD114" s="214"/>
      <c r="GE114" s="214"/>
      <c r="GF114" s="214"/>
      <c r="GG114" s="214"/>
      <c r="GH114" s="214"/>
      <c r="GI114" s="214"/>
      <c r="GJ114" s="214"/>
      <c r="GK114" s="214"/>
      <c r="GL114" s="214"/>
      <c r="GM114" s="214"/>
      <c r="GN114" s="214"/>
      <c r="GO114" s="214"/>
      <c r="GP114" s="214"/>
      <c r="GQ114" s="214"/>
      <c r="GR114" s="214"/>
      <c r="GS114" s="214"/>
      <c r="GT114" s="214"/>
      <c r="GU114" s="214"/>
      <c r="GV114" s="214"/>
      <c r="GW114" s="214"/>
      <c r="GX114" s="214"/>
      <c r="GY114" s="214"/>
      <c r="GZ114" s="214"/>
      <c r="HA114" s="214"/>
      <c r="HB114" s="214"/>
      <c r="HC114" s="214"/>
      <c r="HD114" s="214"/>
      <c r="HE114" s="214"/>
      <c r="HF114" s="214"/>
      <c r="HG114" s="214"/>
      <c r="HH114" s="214"/>
      <c r="HI114" s="214"/>
      <c r="HJ114" s="214"/>
      <c r="HK114" s="214"/>
      <c r="HL114" s="214"/>
      <c r="HM114" s="214"/>
      <c r="HN114" s="214"/>
      <c r="HO114" s="214"/>
      <c r="HP114" s="214"/>
      <c r="HQ114" s="214"/>
      <c r="HR114" s="214"/>
      <c r="HS114" s="214"/>
      <c r="HT114" s="214"/>
      <c r="HU114" s="214"/>
      <c r="HV114" s="214"/>
      <c r="HW114" s="214"/>
      <c r="HX114" s="214"/>
      <c r="HY114" s="214"/>
      <c r="HZ114" s="214"/>
      <c r="IA114" s="214"/>
      <c r="IB114" s="214"/>
      <c r="IC114" s="214"/>
      <c r="ID114" s="214"/>
      <c r="IE114" s="214"/>
      <c r="IF114" s="214"/>
      <c r="IG114" s="214"/>
      <c r="IH114" s="214"/>
      <c r="II114" s="214"/>
      <c r="IJ114" s="214"/>
      <c r="IK114" s="214"/>
      <c r="IL114" s="214"/>
      <c r="IM114" s="214"/>
      <c r="IN114" s="214"/>
      <c r="IO114" s="214"/>
      <c r="IP114" s="214"/>
      <c r="IQ114" s="214"/>
      <c r="IR114" s="214"/>
      <c r="IS114" s="214"/>
      <c r="IT114" s="214"/>
      <c r="IU114" s="214"/>
      <c r="IV114" s="214"/>
      <c r="IW114" s="214"/>
      <c r="IX114" s="214"/>
      <c r="IY114" s="214"/>
      <c r="IZ114" s="214"/>
      <c r="JA114" s="214"/>
      <c r="JB114" s="214"/>
      <c r="JC114" s="214"/>
      <c r="JD114" s="214"/>
      <c r="JE114" s="214"/>
      <c r="JF114" s="214"/>
      <c r="JG114" s="214"/>
      <c r="JH114" s="214"/>
      <c r="JI114" s="214"/>
    </row>
    <row r="115" spans="1:269">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c r="CG115" s="214"/>
      <c r="CH115" s="214"/>
      <c r="CI115" s="214"/>
      <c r="CJ115" s="214"/>
      <c r="CK115" s="214"/>
      <c r="CL115" s="214"/>
      <c r="CM115" s="214"/>
      <c r="CN115" s="214"/>
      <c r="CO115" s="214"/>
      <c r="CP115" s="214"/>
      <c r="CQ115" s="214"/>
      <c r="CR115" s="214"/>
      <c r="CS115" s="214"/>
      <c r="CT115" s="214"/>
      <c r="CU115" s="214"/>
      <c r="CV115" s="214"/>
      <c r="CW115" s="214"/>
      <c r="CX115" s="214"/>
      <c r="CY115" s="214"/>
      <c r="CZ115" s="214"/>
      <c r="DA115" s="214"/>
      <c r="DB115" s="214"/>
      <c r="DC115" s="214"/>
      <c r="DD115" s="214"/>
      <c r="DE115" s="214"/>
      <c r="DF115" s="214"/>
      <c r="DG115" s="214"/>
      <c r="DH115" s="214"/>
      <c r="DI115" s="214"/>
      <c r="DJ115" s="214"/>
      <c r="DK115" s="214"/>
      <c r="DL115" s="214"/>
      <c r="DM115" s="214"/>
      <c r="DN115" s="214"/>
      <c r="DO115" s="214"/>
      <c r="DP115" s="214"/>
      <c r="DQ115" s="214"/>
      <c r="DR115" s="214"/>
      <c r="DS115" s="214"/>
      <c r="DT115" s="214"/>
      <c r="DU115" s="214"/>
      <c r="DV115" s="214"/>
      <c r="DW115" s="214"/>
      <c r="DX115" s="214"/>
      <c r="DY115" s="214"/>
      <c r="DZ115" s="214"/>
      <c r="EA115" s="214"/>
      <c r="EB115" s="214"/>
      <c r="EC115" s="214"/>
      <c r="ED115" s="214"/>
      <c r="EE115" s="214"/>
      <c r="EF115" s="214"/>
      <c r="EG115" s="214"/>
      <c r="EH115" s="214"/>
      <c r="EI115" s="214"/>
      <c r="EJ115" s="214"/>
      <c r="EK115" s="214"/>
      <c r="EL115" s="214"/>
      <c r="EM115" s="214"/>
      <c r="EN115" s="214"/>
      <c r="EO115" s="214"/>
      <c r="EP115" s="214"/>
      <c r="EQ115" s="214"/>
      <c r="ER115" s="214"/>
      <c r="ES115" s="214"/>
      <c r="ET115" s="214"/>
      <c r="EU115" s="214"/>
      <c r="EV115" s="214"/>
      <c r="EW115" s="214"/>
      <c r="EX115" s="214"/>
      <c r="EY115" s="214"/>
      <c r="EZ115" s="214"/>
      <c r="FA115" s="214"/>
      <c r="FB115" s="214"/>
      <c r="FC115" s="214"/>
      <c r="FD115" s="214"/>
      <c r="FE115" s="214"/>
      <c r="FF115" s="214"/>
      <c r="FG115" s="214"/>
      <c r="FH115" s="214"/>
      <c r="FI115" s="214"/>
      <c r="FJ115" s="214"/>
      <c r="FK115" s="214"/>
      <c r="FL115" s="214"/>
      <c r="FM115" s="214"/>
      <c r="FN115" s="214"/>
      <c r="FO115" s="214"/>
      <c r="FP115" s="214"/>
      <c r="FQ115" s="214"/>
      <c r="FR115" s="214"/>
      <c r="FS115" s="214"/>
      <c r="FT115" s="214"/>
      <c r="FU115" s="214"/>
      <c r="FV115" s="214"/>
      <c r="FW115" s="214"/>
      <c r="FX115" s="214"/>
      <c r="FY115" s="214"/>
      <c r="FZ115" s="214"/>
      <c r="GA115" s="214"/>
      <c r="GB115" s="214"/>
      <c r="GC115" s="214"/>
      <c r="GD115" s="214"/>
      <c r="GE115" s="214"/>
      <c r="GF115" s="214"/>
      <c r="GG115" s="214"/>
      <c r="GH115" s="214"/>
      <c r="GI115" s="214"/>
      <c r="GJ115" s="214"/>
      <c r="GK115" s="214"/>
      <c r="GL115" s="214"/>
      <c r="GM115" s="214"/>
      <c r="GN115" s="214"/>
      <c r="GO115" s="214"/>
      <c r="GP115" s="214"/>
      <c r="GQ115" s="214"/>
      <c r="GR115" s="214"/>
      <c r="GS115" s="214"/>
      <c r="GT115" s="214"/>
      <c r="GU115" s="214"/>
      <c r="GV115" s="214"/>
      <c r="GW115" s="214"/>
      <c r="GX115" s="214"/>
      <c r="GY115" s="214"/>
      <c r="GZ115" s="214"/>
      <c r="HA115" s="214"/>
      <c r="HB115" s="214"/>
      <c r="HC115" s="214"/>
      <c r="HD115" s="214"/>
      <c r="HE115" s="214"/>
      <c r="HF115" s="214"/>
      <c r="HG115" s="214"/>
      <c r="HH115" s="214"/>
      <c r="HI115" s="214"/>
      <c r="HJ115" s="214"/>
      <c r="HK115" s="214"/>
      <c r="HL115" s="214"/>
      <c r="HM115" s="214"/>
      <c r="HN115" s="214"/>
      <c r="HO115" s="214"/>
      <c r="HP115" s="214"/>
      <c r="HQ115" s="214"/>
      <c r="HR115" s="214"/>
      <c r="HS115" s="214"/>
      <c r="HT115" s="214"/>
      <c r="HU115" s="214"/>
      <c r="HV115" s="214"/>
      <c r="HW115" s="214"/>
      <c r="HX115" s="214"/>
      <c r="HY115" s="214"/>
      <c r="HZ115" s="214"/>
      <c r="IA115" s="214"/>
      <c r="IB115" s="214"/>
      <c r="IC115" s="214"/>
      <c r="ID115" s="214"/>
      <c r="IE115" s="214"/>
      <c r="IF115" s="214"/>
      <c r="IG115" s="214"/>
      <c r="IH115" s="214"/>
      <c r="II115" s="214"/>
      <c r="IJ115" s="214"/>
      <c r="IK115" s="214"/>
      <c r="IL115" s="214"/>
      <c r="IM115" s="214"/>
      <c r="IN115" s="214"/>
      <c r="IO115" s="214"/>
      <c r="IP115" s="214"/>
      <c r="IQ115" s="214"/>
      <c r="IR115" s="214"/>
      <c r="IS115" s="214"/>
      <c r="IT115" s="214"/>
      <c r="IU115" s="214"/>
      <c r="IV115" s="214"/>
      <c r="IW115" s="214"/>
      <c r="IX115" s="214"/>
      <c r="IY115" s="214"/>
      <c r="IZ115" s="214"/>
      <c r="JA115" s="214"/>
      <c r="JB115" s="214"/>
      <c r="JC115" s="214"/>
      <c r="JD115" s="214"/>
      <c r="JE115" s="214"/>
      <c r="JF115" s="214"/>
      <c r="JG115" s="214"/>
      <c r="JH115" s="214"/>
      <c r="JI115" s="214"/>
    </row>
    <row r="116" spans="1:269">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c r="CG116" s="214"/>
      <c r="CH116" s="214"/>
      <c r="CI116" s="214"/>
      <c r="CJ116" s="214"/>
      <c r="CK116" s="214"/>
      <c r="CL116" s="214"/>
      <c r="CM116" s="214"/>
      <c r="CN116" s="214"/>
      <c r="CO116" s="214"/>
      <c r="CP116" s="214"/>
      <c r="CQ116" s="214"/>
      <c r="CR116" s="214"/>
      <c r="CS116" s="214"/>
      <c r="CT116" s="214"/>
      <c r="CU116" s="214"/>
      <c r="CV116" s="214"/>
      <c r="CW116" s="214"/>
      <c r="CX116" s="214"/>
      <c r="CY116" s="214"/>
      <c r="CZ116" s="214"/>
      <c r="DA116" s="214"/>
      <c r="DB116" s="214"/>
      <c r="DC116" s="214"/>
      <c r="DD116" s="214"/>
      <c r="DE116" s="214"/>
      <c r="DF116" s="214"/>
      <c r="DG116" s="214"/>
      <c r="DH116" s="214"/>
      <c r="DI116" s="214"/>
      <c r="DJ116" s="214"/>
      <c r="DK116" s="214"/>
      <c r="DL116" s="214"/>
      <c r="DM116" s="214"/>
      <c r="DN116" s="214"/>
      <c r="DO116" s="214"/>
      <c r="DP116" s="214"/>
      <c r="DQ116" s="214"/>
      <c r="DR116" s="214"/>
      <c r="DS116" s="214"/>
      <c r="DT116" s="214"/>
      <c r="DU116" s="214"/>
      <c r="DV116" s="214"/>
      <c r="DW116" s="214"/>
      <c r="DX116" s="214"/>
      <c r="DY116" s="214"/>
      <c r="DZ116" s="214"/>
      <c r="EA116" s="214"/>
      <c r="EB116" s="214"/>
      <c r="EC116" s="214"/>
      <c r="ED116" s="214"/>
      <c r="EE116" s="214"/>
      <c r="EF116" s="214"/>
      <c r="EG116" s="214"/>
      <c r="EH116" s="214"/>
      <c r="EI116" s="214"/>
      <c r="EJ116" s="214"/>
      <c r="EK116" s="214"/>
      <c r="EL116" s="214"/>
      <c r="EM116" s="214"/>
      <c r="EN116" s="214"/>
      <c r="EO116" s="214"/>
      <c r="EP116" s="214"/>
      <c r="EQ116" s="214"/>
      <c r="ER116" s="214"/>
      <c r="ES116" s="214"/>
      <c r="ET116" s="214"/>
      <c r="EU116" s="214"/>
      <c r="EV116" s="214"/>
      <c r="EW116" s="214"/>
      <c r="EX116" s="214"/>
      <c r="EY116" s="214"/>
      <c r="EZ116" s="214"/>
      <c r="FA116" s="214"/>
      <c r="FB116" s="214"/>
      <c r="FC116" s="214"/>
      <c r="FD116" s="214"/>
      <c r="FE116" s="214"/>
      <c r="FF116" s="214"/>
      <c r="FG116" s="214"/>
      <c r="FH116" s="214"/>
      <c r="FI116" s="214"/>
      <c r="FJ116" s="214"/>
      <c r="FK116" s="214"/>
      <c r="FL116" s="214"/>
      <c r="FM116" s="214"/>
      <c r="FN116" s="214"/>
      <c r="FO116" s="214"/>
      <c r="FP116" s="214"/>
      <c r="FQ116" s="214"/>
      <c r="FR116" s="214"/>
      <c r="FS116" s="214"/>
      <c r="FT116" s="214"/>
      <c r="FU116" s="214"/>
      <c r="FV116" s="214"/>
      <c r="FW116" s="214"/>
      <c r="FX116" s="214"/>
      <c r="FY116" s="214"/>
      <c r="FZ116" s="214"/>
      <c r="GA116" s="214"/>
      <c r="GB116" s="214"/>
      <c r="GC116" s="214"/>
      <c r="GD116" s="214"/>
      <c r="GE116" s="214"/>
      <c r="GF116" s="214"/>
      <c r="GG116" s="214"/>
      <c r="GH116" s="214"/>
      <c r="GI116" s="214"/>
      <c r="GJ116" s="214"/>
      <c r="GK116" s="214"/>
      <c r="GL116" s="214"/>
      <c r="GM116" s="214"/>
      <c r="GN116" s="214"/>
      <c r="GO116" s="214"/>
      <c r="GP116" s="214"/>
      <c r="GQ116" s="214"/>
      <c r="GR116" s="214"/>
      <c r="GS116" s="214"/>
      <c r="GT116" s="214"/>
      <c r="GU116" s="214"/>
      <c r="GV116" s="214"/>
      <c r="GW116" s="214"/>
      <c r="GX116" s="214"/>
      <c r="GY116" s="214"/>
      <c r="GZ116" s="214"/>
      <c r="HA116" s="214"/>
      <c r="HB116" s="214"/>
      <c r="HC116" s="214"/>
      <c r="HD116" s="214"/>
      <c r="HE116" s="214"/>
      <c r="HF116" s="214"/>
      <c r="HG116" s="214"/>
      <c r="HH116" s="214"/>
      <c r="HI116" s="214"/>
      <c r="HJ116" s="214"/>
      <c r="HK116" s="214"/>
      <c r="HL116" s="214"/>
      <c r="HM116" s="214"/>
      <c r="HN116" s="214"/>
      <c r="HO116" s="214"/>
      <c r="HP116" s="214"/>
      <c r="HQ116" s="214"/>
      <c r="HR116" s="214"/>
      <c r="HS116" s="214"/>
      <c r="HT116" s="214"/>
      <c r="HU116" s="214"/>
      <c r="HV116" s="214"/>
      <c r="HW116" s="214"/>
      <c r="HX116" s="214"/>
      <c r="HY116" s="214"/>
      <c r="HZ116" s="214"/>
      <c r="IA116" s="214"/>
      <c r="IB116" s="214"/>
      <c r="IC116" s="214"/>
      <c r="ID116" s="214"/>
      <c r="IE116" s="214"/>
      <c r="IF116" s="214"/>
      <c r="IG116" s="214"/>
      <c r="IH116" s="214"/>
      <c r="II116" s="214"/>
      <c r="IJ116" s="214"/>
      <c r="IK116" s="214"/>
      <c r="IL116" s="214"/>
      <c r="IM116" s="214"/>
      <c r="IN116" s="214"/>
      <c r="IO116" s="214"/>
      <c r="IP116" s="214"/>
      <c r="IQ116" s="214"/>
      <c r="IR116" s="214"/>
      <c r="IS116" s="214"/>
      <c r="IT116" s="214"/>
      <c r="IU116" s="214"/>
      <c r="IV116" s="214"/>
      <c r="IW116" s="214"/>
      <c r="IX116" s="214"/>
      <c r="IY116" s="214"/>
      <c r="IZ116" s="214"/>
      <c r="JA116" s="214"/>
      <c r="JB116" s="214"/>
      <c r="JC116" s="214"/>
      <c r="JD116" s="214"/>
      <c r="JE116" s="214"/>
      <c r="JF116" s="214"/>
      <c r="JG116" s="214"/>
      <c r="JH116" s="214"/>
      <c r="JI116" s="214"/>
    </row>
    <row r="117" spans="1:269">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c r="CG117" s="214"/>
      <c r="CH117" s="214"/>
      <c r="CI117" s="214"/>
      <c r="CJ117" s="214"/>
      <c r="CK117" s="214"/>
      <c r="CL117" s="214"/>
      <c r="CM117" s="214"/>
      <c r="CN117" s="214"/>
      <c r="CO117" s="214"/>
      <c r="CP117" s="214"/>
      <c r="CQ117" s="214"/>
      <c r="CR117" s="214"/>
      <c r="CS117" s="214"/>
      <c r="CT117" s="214"/>
      <c r="CU117" s="214"/>
      <c r="CV117" s="214"/>
      <c r="CW117" s="214"/>
      <c r="CX117" s="214"/>
      <c r="CY117" s="214"/>
      <c r="CZ117" s="214"/>
      <c r="DA117" s="214"/>
      <c r="DB117" s="214"/>
      <c r="DC117" s="214"/>
      <c r="DD117" s="214"/>
      <c r="DE117" s="214"/>
      <c r="DF117" s="214"/>
      <c r="DG117" s="214"/>
      <c r="DH117" s="214"/>
      <c r="DI117" s="214"/>
      <c r="DJ117" s="214"/>
      <c r="DK117" s="214"/>
      <c r="DL117" s="214"/>
      <c r="DM117" s="214"/>
      <c r="DN117" s="214"/>
      <c r="DO117" s="214"/>
      <c r="DP117" s="214"/>
      <c r="DQ117" s="214"/>
      <c r="DR117" s="214"/>
      <c r="DS117" s="214"/>
      <c r="DT117" s="214"/>
      <c r="DU117" s="214"/>
      <c r="DV117" s="214"/>
      <c r="DW117" s="214"/>
      <c r="DX117" s="214"/>
      <c r="DY117" s="214"/>
      <c r="DZ117" s="214"/>
      <c r="EA117" s="214"/>
      <c r="EB117" s="214"/>
      <c r="EC117" s="214"/>
      <c r="ED117" s="214"/>
      <c r="EE117" s="214"/>
      <c r="EF117" s="214"/>
      <c r="EG117" s="214"/>
      <c r="EH117" s="214"/>
      <c r="EI117" s="214"/>
      <c r="EJ117" s="214"/>
      <c r="EK117" s="214"/>
      <c r="EL117" s="214"/>
      <c r="EM117" s="214"/>
      <c r="EN117" s="214"/>
      <c r="EO117" s="214"/>
      <c r="EP117" s="214"/>
      <c r="EQ117" s="214"/>
      <c r="ER117" s="214"/>
      <c r="ES117" s="214"/>
      <c r="ET117" s="214"/>
      <c r="EU117" s="214"/>
      <c r="EV117" s="214"/>
      <c r="EW117" s="214"/>
      <c r="EX117" s="214"/>
      <c r="EY117" s="214"/>
      <c r="EZ117" s="214"/>
      <c r="FA117" s="214"/>
      <c r="FB117" s="214"/>
      <c r="FC117" s="214"/>
      <c r="FD117" s="214"/>
      <c r="FE117" s="214"/>
      <c r="FF117" s="214"/>
      <c r="FG117" s="214"/>
      <c r="FH117" s="214"/>
      <c r="FI117" s="214"/>
      <c r="FJ117" s="214"/>
      <c r="FK117" s="214"/>
      <c r="FL117" s="214"/>
      <c r="FM117" s="214"/>
      <c r="FN117" s="214"/>
      <c r="FO117" s="214"/>
      <c r="FP117" s="214"/>
      <c r="FQ117" s="214"/>
      <c r="FR117" s="214"/>
      <c r="FS117" s="214"/>
      <c r="FT117" s="214"/>
      <c r="FU117" s="214"/>
      <c r="FV117" s="214"/>
      <c r="FW117" s="214"/>
      <c r="FX117" s="214"/>
      <c r="FY117" s="214"/>
      <c r="FZ117" s="214"/>
      <c r="GA117" s="214"/>
      <c r="GB117" s="214"/>
      <c r="GC117" s="214"/>
      <c r="GD117" s="214"/>
      <c r="GE117" s="214"/>
      <c r="GF117" s="214"/>
      <c r="GG117" s="214"/>
      <c r="GH117" s="214"/>
      <c r="GI117" s="214"/>
      <c r="GJ117" s="214"/>
      <c r="GK117" s="214"/>
      <c r="GL117" s="214"/>
      <c r="GM117" s="214"/>
      <c r="GN117" s="214"/>
      <c r="GO117" s="214"/>
      <c r="GP117" s="214"/>
      <c r="GQ117" s="214"/>
      <c r="GR117" s="214"/>
      <c r="GS117" s="214"/>
      <c r="GT117" s="214"/>
      <c r="GU117" s="214"/>
      <c r="GV117" s="214"/>
      <c r="GW117" s="214"/>
      <c r="GX117" s="214"/>
      <c r="GY117" s="214"/>
      <c r="GZ117" s="214"/>
      <c r="HA117" s="214"/>
      <c r="HB117" s="214"/>
      <c r="HC117" s="214"/>
      <c r="HD117" s="214"/>
      <c r="HE117" s="214"/>
      <c r="HF117" s="214"/>
      <c r="HG117" s="214"/>
      <c r="HH117" s="214"/>
      <c r="HI117" s="214"/>
      <c r="HJ117" s="214"/>
      <c r="HK117" s="214"/>
      <c r="HL117" s="214"/>
      <c r="HM117" s="214"/>
      <c r="HN117" s="214"/>
      <c r="HO117" s="214"/>
      <c r="HP117" s="214"/>
      <c r="HQ117" s="214"/>
      <c r="HR117" s="214"/>
      <c r="HS117" s="214"/>
      <c r="HT117" s="214"/>
      <c r="HU117" s="214"/>
      <c r="HV117" s="214"/>
      <c r="HW117" s="214"/>
      <c r="HX117" s="214"/>
      <c r="HY117" s="214"/>
      <c r="HZ117" s="214"/>
      <c r="IA117" s="214"/>
      <c r="IB117" s="214"/>
      <c r="IC117" s="214"/>
      <c r="ID117" s="214"/>
      <c r="IE117" s="214"/>
      <c r="IF117" s="214"/>
      <c r="IG117" s="214"/>
      <c r="IH117" s="214"/>
      <c r="II117" s="214"/>
      <c r="IJ117" s="214"/>
      <c r="IK117" s="214"/>
      <c r="IL117" s="214"/>
      <c r="IM117" s="214"/>
      <c r="IN117" s="214"/>
      <c r="IO117" s="214"/>
      <c r="IP117" s="214"/>
      <c r="IQ117" s="214"/>
      <c r="IR117" s="214"/>
      <c r="IS117" s="214"/>
      <c r="IT117" s="214"/>
      <c r="IU117" s="214"/>
      <c r="IV117" s="214"/>
      <c r="IW117" s="214"/>
      <c r="IX117" s="214"/>
      <c r="IY117" s="214"/>
      <c r="IZ117" s="214"/>
      <c r="JA117" s="214"/>
      <c r="JB117" s="214"/>
      <c r="JC117" s="214"/>
      <c r="JD117" s="214"/>
      <c r="JE117" s="214"/>
      <c r="JF117" s="214"/>
      <c r="JG117" s="214"/>
      <c r="JH117" s="214"/>
      <c r="JI117" s="214"/>
    </row>
    <row r="118" spans="1:269">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c r="CG118" s="214"/>
      <c r="CH118" s="214"/>
      <c r="CI118" s="214"/>
      <c r="CJ118" s="214"/>
      <c r="CK118" s="214"/>
      <c r="CL118" s="214"/>
      <c r="CM118" s="214"/>
      <c r="CN118" s="214"/>
      <c r="CO118" s="214"/>
      <c r="CP118" s="214"/>
      <c r="CQ118" s="214"/>
      <c r="CR118" s="214"/>
      <c r="CS118" s="214"/>
      <c r="CT118" s="214"/>
      <c r="CU118" s="214"/>
      <c r="CV118" s="214"/>
      <c r="CW118" s="214"/>
      <c r="CX118" s="214"/>
      <c r="CY118" s="214"/>
      <c r="CZ118" s="214"/>
      <c r="DA118" s="214"/>
      <c r="DB118" s="214"/>
      <c r="DC118" s="214"/>
      <c r="DD118" s="214"/>
      <c r="DE118" s="214"/>
      <c r="DF118" s="214"/>
      <c r="DG118" s="214"/>
      <c r="DH118" s="214"/>
      <c r="DI118" s="214"/>
      <c r="DJ118" s="214"/>
      <c r="DK118" s="214"/>
      <c r="DL118" s="214"/>
      <c r="DM118" s="214"/>
      <c r="DN118" s="214"/>
      <c r="DO118" s="214"/>
      <c r="DP118" s="214"/>
      <c r="DQ118" s="214"/>
      <c r="DR118" s="214"/>
      <c r="DS118" s="214"/>
      <c r="DT118" s="214"/>
      <c r="DU118" s="214"/>
      <c r="DV118" s="214"/>
      <c r="DW118" s="214"/>
      <c r="DX118" s="214"/>
      <c r="DY118" s="214"/>
      <c r="DZ118" s="214"/>
      <c r="EA118" s="214"/>
      <c r="EB118" s="214"/>
      <c r="EC118" s="214"/>
      <c r="ED118" s="214"/>
      <c r="EE118" s="214"/>
      <c r="EF118" s="214"/>
      <c r="EG118" s="214"/>
      <c r="EH118" s="214"/>
      <c r="EI118" s="214"/>
      <c r="EJ118" s="214"/>
      <c r="EK118" s="214"/>
      <c r="EL118" s="214"/>
      <c r="EM118" s="214"/>
      <c r="EN118" s="214"/>
      <c r="EO118" s="214"/>
      <c r="EP118" s="214"/>
      <c r="EQ118" s="214"/>
      <c r="ER118" s="214"/>
      <c r="ES118" s="214"/>
      <c r="ET118" s="214"/>
      <c r="EU118" s="214"/>
      <c r="EV118" s="214"/>
      <c r="EW118" s="214"/>
      <c r="EX118" s="214"/>
      <c r="EY118" s="214"/>
      <c r="EZ118" s="214"/>
      <c r="FA118" s="214"/>
      <c r="FB118" s="214"/>
      <c r="FC118" s="214"/>
      <c r="FD118" s="214"/>
      <c r="FE118" s="214"/>
      <c r="FF118" s="214"/>
      <c r="FG118" s="214"/>
      <c r="FH118" s="214"/>
      <c r="FI118" s="214"/>
      <c r="FJ118" s="214"/>
      <c r="FK118" s="214"/>
      <c r="FL118" s="214"/>
      <c r="FM118" s="214"/>
      <c r="FN118" s="214"/>
      <c r="FO118" s="214"/>
      <c r="FP118" s="214"/>
      <c r="FQ118" s="214"/>
      <c r="FR118" s="214"/>
      <c r="FS118" s="214"/>
      <c r="FT118" s="214"/>
      <c r="FU118" s="214"/>
      <c r="FV118" s="214"/>
      <c r="FW118" s="214"/>
      <c r="FX118" s="214"/>
      <c r="FY118" s="214"/>
      <c r="FZ118" s="214"/>
      <c r="GA118" s="214"/>
      <c r="GB118" s="214"/>
      <c r="GC118" s="214"/>
      <c r="GD118" s="214"/>
      <c r="GE118" s="214"/>
      <c r="GF118" s="214"/>
      <c r="GG118" s="214"/>
      <c r="GH118" s="214"/>
      <c r="GI118" s="214"/>
      <c r="GJ118" s="214"/>
      <c r="GK118" s="214"/>
      <c r="GL118" s="214"/>
      <c r="GM118" s="214"/>
      <c r="GN118" s="214"/>
      <c r="GO118" s="214"/>
      <c r="GP118" s="214"/>
      <c r="GQ118" s="214"/>
      <c r="GR118" s="214"/>
      <c r="GS118" s="214"/>
      <c r="GT118" s="214"/>
      <c r="GU118" s="214"/>
      <c r="GV118" s="214"/>
      <c r="GW118" s="214"/>
      <c r="GX118" s="214"/>
      <c r="GY118" s="214"/>
      <c r="GZ118" s="214"/>
      <c r="HA118" s="214"/>
      <c r="HB118" s="214"/>
      <c r="HC118" s="214"/>
      <c r="HD118" s="214"/>
      <c r="HE118" s="214"/>
      <c r="HF118" s="214"/>
      <c r="HG118" s="214"/>
      <c r="HH118" s="214"/>
      <c r="HI118" s="214"/>
      <c r="HJ118" s="214"/>
      <c r="HK118" s="214"/>
      <c r="HL118" s="214"/>
      <c r="HM118" s="214"/>
      <c r="HN118" s="214"/>
      <c r="HO118" s="214"/>
      <c r="HP118" s="214"/>
      <c r="HQ118" s="214"/>
      <c r="HR118" s="214"/>
      <c r="HS118" s="214"/>
      <c r="HT118" s="214"/>
      <c r="HU118" s="214"/>
      <c r="HV118" s="214"/>
      <c r="HW118" s="214"/>
      <c r="HX118" s="214"/>
      <c r="HY118" s="214"/>
      <c r="HZ118" s="214"/>
      <c r="IA118" s="214"/>
      <c r="IB118" s="214"/>
      <c r="IC118" s="214"/>
      <c r="ID118" s="214"/>
      <c r="IE118" s="214"/>
      <c r="IF118" s="214"/>
      <c r="IG118" s="214"/>
      <c r="IH118" s="214"/>
      <c r="II118" s="214"/>
      <c r="IJ118" s="214"/>
      <c r="IK118" s="214"/>
      <c r="IL118" s="214"/>
      <c r="IM118" s="214"/>
      <c r="IN118" s="214"/>
      <c r="IO118" s="214"/>
      <c r="IP118" s="214"/>
      <c r="IQ118" s="214"/>
      <c r="IR118" s="214"/>
      <c r="IS118" s="214"/>
      <c r="IT118" s="214"/>
      <c r="IU118" s="214"/>
      <c r="IV118" s="214"/>
      <c r="IW118" s="214"/>
      <c r="IX118" s="214"/>
      <c r="IY118" s="214"/>
      <c r="IZ118" s="214"/>
      <c r="JA118" s="214"/>
      <c r="JB118" s="214"/>
      <c r="JC118" s="214"/>
      <c r="JD118" s="214"/>
      <c r="JE118" s="214"/>
      <c r="JF118" s="214"/>
      <c r="JG118" s="214"/>
      <c r="JH118" s="214"/>
      <c r="JI118" s="214"/>
    </row>
    <row r="119" spans="1:269">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c r="CG119" s="214"/>
      <c r="CH119" s="214"/>
      <c r="CI119" s="214"/>
      <c r="CJ119" s="214"/>
      <c r="CK119" s="214"/>
      <c r="CL119" s="214"/>
      <c r="CM119" s="214"/>
      <c r="CN119" s="214"/>
      <c r="CO119" s="214"/>
      <c r="CP119" s="214"/>
      <c r="CQ119" s="214"/>
      <c r="CR119" s="214"/>
      <c r="CS119" s="214"/>
      <c r="CT119" s="214"/>
      <c r="CU119" s="214"/>
      <c r="CV119" s="214"/>
      <c r="CW119" s="214"/>
      <c r="CX119" s="214"/>
      <c r="CY119" s="214"/>
      <c r="CZ119" s="214"/>
      <c r="DA119" s="214"/>
      <c r="DB119" s="214"/>
      <c r="DC119" s="214"/>
      <c r="DD119" s="214"/>
      <c r="DE119" s="214"/>
      <c r="DF119" s="214"/>
      <c r="DG119" s="214"/>
      <c r="DH119" s="214"/>
      <c r="DI119" s="214"/>
      <c r="DJ119" s="214"/>
      <c r="DK119" s="214"/>
      <c r="DL119" s="214"/>
      <c r="DM119" s="214"/>
      <c r="DN119" s="214"/>
      <c r="DO119" s="214"/>
      <c r="DP119" s="214"/>
      <c r="DQ119" s="214"/>
      <c r="DR119" s="214"/>
      <c r="DS119" s="214"/>
      <c r="DT119" s="214"/>
      <c r="DU119" s="214"/>
      <c r="DV119" s="214"/>
      <c r="DW119" s="214"/>
      <c r="DX119" s="214"/>
      <c r="DY119" s="214"/>
      <c r="DZ119" s="214"/>
      <c r="EA119" s="214"/>
      <c r="EB119" s="214"/>
      <c r="EC119" s="214"/>
      <c r="ED119" s="214"/>
      <c r="EE119" s="214"/>
      <c r="EF119" s="214"/>
      <c r="EG119" s="214"/>
      <c r="EH119" s="214"/>
      <c r="EI119" s="214"/>
      <c r="EJ119" s="214"/>
      <c r="EK119" s="214"/>
      <c r="EL119" s="214"/>
      <c r="EM119" s="214"/>
      <c r="EN119" s="214"/>
      <c r="EO119" s="214"/>
      <c r="EP119" s="214"/>
      <c r="EQ119" s="214"/>
      <c r="ER119" s="214"/>
      <c r="ES119" s="214"/>
      <c r="ET119" s="214"/>
      <c r="EU119" s="214"/>
      <c r="EV119" s="214"/>
      <c r="EW119" s="214"/>
      <c r="EX119" s="214"/>
      <c r="EY119" s="214"/>
      <c r="EZ119" s="214"/>
      <c r="FA119" s="214"/>
      <c r="FB119" s="214"/>
      <c r="FC119" s="214"/>
      <c r="FD119" s="214"/>
      <c r="FE119" s="214"/>
      <c r="FF119" s="214"/>
      <c r="FG119" s="214"/>
      <c r="FH119" s="214"/>
      <c r="FI119" s="214"/>
      <c r="FJ119" s="214"/>
      <c r="FK119" s="214"/>
      <c r="FL119" s="214"/>
      <c r="FM119" s="214"/>
      <c r="FN119" s="214"/>
      <c r="FO119" s="214"/>
      <c r="FP119" s="214"/>
      <c r="FQ119" s="214"/>
      <c r="FR119" s="214"/>
      <c r="FS119" s="214"/>
      <c r="FT119" s="214"/>
      <c r="FU119" s="214"/>
      <c r="FV119" s="214"/>
      <c r="FW119" s="214"/>
      <c r="FX119" s="214"/>
      <c r="FY119" s="214"/>
      <c r="FZ119" s="214"/>
      <c r="GA119" s="214"/>
      <c r="GB119" s="214"/>
      <c r="GC119" s="214"/>
      <c r="GD119" s="214"/>
      <c r="GE119" s="214"/>
      <c r="GF119" s="214"/>
      <c r="GG119" s="214"/>
      <c r="GH119" s="214"/>
      <c r="GI119" s="214"/>
      <c r="GJ119" s="214"/>
      <c r="GK119" s="214"/>
      <c r="GL119" s="214"/>
      <c r="GM119" s="214"/>
      <c r="GN119" s="214"/>
      <c r="GO119" s="214"/>
      <c r="GP119" s="214"/>
      <c r="GQ119" s="214"/>
      <c r="GR119" s="214"/>
      <c r="GS119" s="214"/>
      <c r="GT119" s="214"/>
      <c r="GU119" s="214"/>
      <c r="GV119" s="214"/>
      <c r="GW119" s="214"/>
      <c r="GX119" s="214"/>
      <c r="GY119" s="214"/>
      <c r="GZ119" s="214"/>
      <c r="HA119" s="214"/>
      <c r="HB119" s="214"/>
      <c r="HC119" s="214"/>
      <c r="HD119" s="214"/>
      <c r="HE119" s="214"/>
      <c r="HF119" s="214"/>
      <c r="HG119" s="214"/>
      <c r="HH119" s="214"/>
      <c r="HI119" s="214"/>
      <c r="HJ119" s="214"/>
      <c r="HK119" s="214"/>
      <c r="HL119" s="214"/>
      <c r="HM119" s="214"/>
      <c r="HN119" s="214"/>
      <c r="HO119" s="214"/>
      <c r="HP119" s="214"/>
      <c r="HQ119" s="214"/>
      <c r="HR119" s="214"/>
      <c r="HS119" s="214"/>
      <c r="HT119" s="214"/>
      <c r="HU119" s="214"/>
      <c r="HV119" s="214"/>
      <c r="HW119" s="214"/>
      <c r="HX119" s="214"/>
      <c r="HY119" s="214"/>
      <c r="HZ119" s="214"/>
      <c r="IA119" s="214"/>
      <c r="IB119" s="214"/>
      <c r="IC119" s="214"/>
      <c r="ID119" s="214"/>
      <c r="IE119" s="214"/>
      <c r="IF119" s="214"/>
      <c r="IG119" s="214"/>
      <c r="IH119" s="214"/>
      <c r="II119" s="214"/>
      <c r="IJ119" s="214"/>
      <c r="IK119" s="214"/>
      <c r="IL119" s="214"/>
      <c r="IM119" s="214"/>
      <c r="IN119" s="214"/>
      <c r="IO119" s="214"/>
      <c r="IP119" s="214"/>
      <c r="IQ119" s="214"/>
      <c r="IR119" s="214"/>
      <c r="IS119" s="214"/>
      <c r="IT119" s="214"/>
      <c r="IU119" s="214"/>
      <c r="IV119" s="214"/>
      <c r="IW119" s="214"/>
      <c r="IX119" s="214"/>
      <c r="IY119" s="214"/>
      <c r="IZ119" s="214"/>
      <c r="JA119" s="214"/>
      <c r="JB119" s="214"/>
      <c r="JC119" s="214"/>
      <c r="JD119" s="214"/>
      <c r="JE119" s="214"/>
      <c r="JF119" s="214"/>
      <c r="JG119" s="214"/>
      <c r="JH119" s="214"/>
      <c r="JI119" s="214"/>
    </row>
    <row r="120" spans="1:269">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c r="CG120" s="214"/>
      <c r="CH120" s="214"/>
      <c r="CI120" s="214"/>
      <c r="CJ120" s="214"/>
      <c r="CK120" s="214"/>
      <c r="CL120" s="214"/>
      <c r="CM120" s="214"/>
      <c r="CN120" s="214"/>
      <c r="CO120" s="214"/>
      <c r="CP120" s="214"/>
      <c r="CQ120" s="214"/>
      <c r="CR120" s="214"/>
      <c r="CS120" s="214"/>
      <c r="CT120" s="214"/>
      <c r="CU120" s="214"/>
      <c r="CV120" s="214"/>
      <c r="CW120" s="214"/>
      <c r="CX120" s="214"/>
      <c r="CY120" s="214"/>
      <c r="CZ120" s="214"/>
      <c r="DA120" s="214"/>
      <c r="DB120" s="214"/>
      <c r="DC120" s="214"/>
      <c r="DD120" s="214"/>
      <c r="DE120" s="214"/>
      <c r="DF120" s="214"/>
      <c r="DG120" s="214"/>
      <c r="DH120" s="214"/>
      <c r="DI120" s="214"/>
      <c r="DJ120" s="214"/>
      <c r="DK120" s="214"/>
      <c r="DL120" s="214"/>
      <c r="DM120" s="214"/>
      <c r="DN120" s="214"/>
      <c r="DO120" s="214"/>
      <c r="DP120" s="214"/>
      <c r="DQ120" s="214"/>
      <c r="DR120" s="214"/>
      <c r="DS120" s="214"/>
      <c r="DT120" s="214"/>
      <c r="DU120" s="214"/>
      <c r="DV120" s="214"/>
      <c r="DW120" s="214"/>
      <c r="DX120" s="214"/>
      <c r="DY120" s="214"/>
      <c r="DZ120" s="214"/>
      <c r="EA120" s="214"/>
      <c r="EB120" s="214"/>
      <c r="EC120" s="214"/>
      <c r="ED120" s="214"/>
      <c r="EE120" s="214"/>
      <c r="EF120" s="214"/>
      <c r="EG120" s="214"/>
      <c r="EH120" s="214"/>
      <c r="EI120" s="214"/>
      <c r="EJ120" s="214"/>
      <c r="EK120" s="214"/>
      <c r="EL120" s="214"/>
      <c r="EM120" s="214"/>
      <c r="EN120" s="214"/>
      <c r="EO120" s="214"/>
      <c r="EP120" s="214"/>
      <c r="EQ120" s="214"/>
      <c r="ER120" s="214"/>
      <c r="ES120" s="214"/>
      <c r="ET120" s="214"/>
      <c r="EU120" s="214"/>
      <c r="EV120" s="214"/>
      <c r="EW120" s="214"/>
      <c r="EX120" s="214"/>
      <c r="EY120" s="214"/>
      <c r="EZ120" s="214"/>
      <c r="FA120" s="214"/>
      <c r="FB120" s="214"/>
      <c r="FC120" s="214"/>
      <c r="FD120" s="214"/>
      <c r="FE120" s="214"/>
      <c r="FF120" s="214"/>
      <c r="FG120" s="214"/>
      <c r="FH120" s="214"/>
      <c r="FI120" s="214"/>
      <c r="FJ120" s="214"/>
      <c r="FK120" s="214"/>
      <c r="FL120" s="214"/>
      <c r="FM120" s="214"/>
      <c r="FN120" s="214"/>
      <c r="FO120" s="214"/>
      <c r="FP120" s="214"/>
      <c r="FQ120" s="214"/>
      <c r="FR120" s="214"/>
      <c r="FS120" s="214"/>
      <c r="FT120" s="214"/>
      <c r="FU120" s="214"/>
      <c r="FV120" s="214"/>
      <c r="FW120" s="214"/>
      <c r="FX120" s="214"/>
      <c r="FY120" s="214"/>
      <c r="FZ120" s="214"/>
      <c r="GA120" s="214"/>
      <c r="GB120" s="214"/>
      <c r="GC120" s="214"/>
      <c r="GD120" s="214"/>
      <c r="GE120" s="214"/>
      <c r="GF120" s="214"/>
      <c r="GG120" s="214"/>
      <c r="GH120" s="214"/>
      <c r="GI120" s="214"/>
      <c r="GJ120" s="214"/>
      <c r="GK120" s="214"/>
      <c r="GL120" s="214"/>
      <c r="GM120" s="214"/>
      <c r="GN120" s="214"/>
      <c r="GO120" s="214"/>
      <c r="GP120" s="214"/>
      <c r="GQ120" s="214"/>
      <c r="GR120" s="214"/>
      <c r="GS120" s="214"/>
      <c r="GT120" s="214"/>
      <c r="GU120" s="214"/>
      <c r="GV120" s="214"/>
      <c r="GW120" s="214"/>
      <c r="GX120" s="214"/>
      <c r="GY120" s="214"/>
      <c r="GZ120" s="214"/>
      <c r="HA120" s="214"/>
      <c r="HB120" s="214"/>
      <c r="HC120" s="214"/>
      <c r="HD120" s="214"/>
      <c r="HE120" s="214"/>
      <c r="HF120" s="214"/>
      <c r="HG120" s="214"/>
      <c r="HH120" s="214"/>
      <c r="HI120" s="214"/>
      <c r="HJ120" s="214"/>
      <c r="HK120" s="214"/>
      <c r="HL120" s="214"/>
      <c r="HM120" s="214"/>
      <c r="HN120" s="214"/>
      <c r="HO120" s="214"/>
      <c r="HP120" s="214"/>
      <c r="HQ120" s="214"/>
      <c r="HR120" s="214"/>
      <c r="HS120" s="214"/>
      <c r="HT120" s="214"/>
      <c r="HU120" s="214"/>
      <c r="HV120" s="214"/>
      <c r="HW120" s="214"/>
      <c r="HX120" s="214"/>
      <c r="HY120" s="214"/>
      <c r="HZ120" s="214"/>
      <c r="IA120" s="214"/>
      <c r="IB120" s="214"/>
      <c r="IC120" s="214"/>
      <c r="ID120" s="214"/>
      <c r="IE120" s="214"/>
      <c r="IF120" s="214"/>
      <c r="IG120" s="214"/>
      <c r="IH120" s="214"/>
      <c r="II120" s="214"/>
      <c r="IJ120" s="214"/>
      <c r="IK120" s="214"/>
      <c r="IL120" s="214"/>
      <c r="IM120" s="214"/>
      <c r="IN120" s="214"/>
      <c r="IO120" s="214"/>
      <c r="IP120" s="214"/>
      <c r="IQ120" s="214"/>
      <c r="IR120" s="214"/>
      <c r="IS120" s="214"/>
      <c r="IT120" s="214"/>
      <c r="IU120" s="214"/>
      <c r="IV120" s="214"/>
      <c r="IW120" s="214"/>
      <c r="IX120" s="214"/>
      <c r="IY120" s="214"/>
      <c r="IZ120" s="214"/>
      <c r="JA120" s="214"/>
      <c r="JB120" s="214"/>
      <c r="JC120" s="214"/>
      <c r="JD120" s="214"/>
      <c r="JE120" s="214"/>
      <c r="JF120" s="214"/>
      <c r="JG120" s="214"/>
      <c r="JH120" s="214"/>
      <c r="JI120" s="214"/>
    </row>
    <row r="121" spans="1:269">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c r="CG121" s="214"/>
      <c r="CH121" s="214"/>
      <c r="CI121" s="214"/>
      <c r="CJ121" s="214"/>
      <c r="CK121" s="214"/>
      <c r="CL121" s="214"/>
      <c r="CM121" s="214"/>
      <c r="CN121" s="214"/>
      <c r="CO121" s="214"/>
      <c r="CP121" s="214"/>
      <c r="CQ121" s="214"/>
      <c r="CR121" s="214"/>
      <c r="CS121" s="214"/>
      <c r="CT121" s="214"/>
      <c r="CU121" s="214"/>
      <c r="CV121" s="214"/>
      <c r="CW121" s="214"/>
      <c r="CX121" s="214"/>
      <c r="CY121" s="214"/>
      <c r="CZ121" s="214"/>
      <c r="DA121" s="214"/>
      <c r="DB121" s="214"/>
      <c r="DC121" s="214"/>
      <c r="DD121" s="214"/>
      <c r="DE121" s="214"/>
      <c r="DF121" s="214"/>
      <c r="DG121" s="214"/>
      <c r="DH121" s="214"/>
      <c r="DI121" s="214"/>
      <c r="DJ121" s="214"/>
      <c r="DK121" s="214"/>
      <c r="DL121" s="214"/>
      <c r="DM121" s="214"/>
      <c r="DN121" s="214"/>
      <c r="DO121" s="214"/>
      <c r="DP121" s="214"/>
      <c r="DQ121" s="214"/>
      <c r="DR121" s="214"/>
      <c r="DS121" s="214"/>
      <c r="DT121" s="214"/>
      <c r="DU121" s="214"/>
      <c r="DV121" s="214"/>
      <c r="DW121" s="214"/>
      <c r="DX121" s="214"/>
      <c r="DY121" s="214"/>
      <c r="DZ121" s="214"/>
      <c r="EA121" s="214"/>
      <c r="EB121" s="214"/>
      <c r="EC121" s="214"/>
      <c r="ED121" s="214"/>
      <c r="EE121" s="214"/>
      <c r="EF121" s="214"/>
      <c r="EG121" s="214"/>
      <c r="EH121" s="214"/>
      <c r="EI121" s="214"/>
      <c r="EJ121" s="214"/>
      <c r="EK121" s="214"/>
      <c r="EL121" s="214"/>
      <c r="EM121" s="214"/>
      <c r="EN121" s="214"/>
      <c r="EO121" s="214"/>
      <c r="EP121" s="214"/>
      <c r="EQ121" s="214"/>
      <c r="ER121" s="214"/>
      <c r="ES121" s="214"/>
      <c r="ET121" s="214"/>
      <c r="EU121" s="214"/>
      <c r="EV121" s="214"/>
      <c r="EW121" s="214"/>
      <c r="EX121" s="214"/>
      <c r="EY121" s="214"/>
      <c r="EZ121" s="214"/>
      <c r="FA121" s="214"/>
      <c r="FB121" s="214"/>
      <c r="FC121" s="214"/>
      <c r="FD121" s="214"/>
      <c r="FE121" s="214"/>
      <c r="FF121" s="214"/>
      <c r="FG121" s="214"/>
      <c r="FH121" s="214"/>
      <c r="FI121" s="214"/>
      <c r="FJ121" s="214"/>
      <c r="FK121" s="214"/>
      <c r="FL121" s="214"/>
      <c r="FM121" s="214"/>
      <c r="FN121" s="214"/>
      <c r="FO121" s="214"/>
      <c r="FP121" s="214"/>
      <c r="FQ121" s="214"/>
      <c r="FR121" s="214"/>
      <c r="FS121" s="214"/>
      <c r="FT121" s="214"/>
      <c r="FU121" s="214"/>
      <c r="FV121" s="214"/>
      <c r="FW121" s="214"/>
      <c r="FX121" s="214"/>
      <c r="FY121" s="214"/>
      <c r="FZ121" s="214"/>
      <c r="GA121" s="214"/>
      <c r="GB121" s="214"/>
      <c r="GC121" s="214"/>
      <c r="GD121" s="214"/>
      <c r="GE121" s="214"/>
      <c r="GF121" s="214"/>
      <c r="GG121" s="214"/>
      <c r="GH121" s="214"/>
      <c r="GI121" s="214"/>
      <c r="GJ121" s="214"/>
      <c r="GK121" s="214"/>
      <c r="GL121" s="214"/>
      <c r="GM121" s="214"/>
      <c r="GN121" s="214"/>
      <c r="GO121" s="214"/>
      <c r="GP121" s="214"/>
      <c r="GQ121" s="214"/>
      <c r="GR121" s="214"/>
      <c r="GS121" s="214"/>
      <c r="GT121" s="214"/>
      <c r="GU121" s="214"/>
      <c r="GV121" s="214"/>
      <c r="GW121" s="214"/>
      <c r="GX121" s="214"/>
      <c r="GY121" s="214"/>
      <c r="GZ121" s="214"/>
      <c r="HA121" s="214"/>
      <c r="HB121" s="214"/>
      <c r="HC121" s="214"/>
      <c r="HD121" s="214"/>
      <c r="HE121" s="214"/>
      <c r="HF121" s="214"/>
      <c r="HG121" s="214"/>
      <c r="HH121" s="214"/>
      <c r="HI121" s="214"/>
      <c r="HJ121" s="214"/>
      <c r="HK121" s="214"/>
      <c r="HL121" s="214"/>
      <c r="HM121" s="214"/>
      <c r="HN121" s="214"/>
      <c r="HO121" s="214"/>
      <c r="HP121" s="214"/>
      <c r="HQ121" s="214"/>
      <c r="HR121" s="214"/>
      <c r="HS121" s="214"/>
      <c r="HT121" s="214"/>
      <c r="HU121" s="214"/>
      <c r="HV121" s="214"/>
      <c r="HW121" s="214"/>
      <c r="HX121" s="214"/>
      <c r="HY121" s="214"/>
      <c r="HZ121" s="214"/>
      <c r="IA121" s="214"/>
      <c r="IB121" s="214"/>
      <c r="IC121" s="214"/>
      <c r="ID121" s="214"/>
      <c r="IE121" s="214"/>
      <c r="IF121" s="214"/>
      <c r="IG121" s="214"/>
      <c r="IH121" s="214"/>
      <c r="II121" s="214"/>
      <c r="IJ121" s="214"/>
      <c r="IK121" s="214"/>
      <c r="IL121" s="214"/>
      <c r="IM121" s="214"/>
      <c r="IN121" s="214"/>
      <c r="IO121" s="214"/>
      <c r="IP121" s="214"/>
      <c r="IQ121" s="214"/>
      <c r="IR121" s="214"/>
      <c r="IS121" s="214"/>
      <c r="IT121" s="214"/>
      <c r="IU121" s="214"/>
      <c r="IV121" s="214"/>
      <c r="IW121" s="214"/>
      <c r="IX121" s="214"/>
      <c r="IY121" s="214"/>
      <c r="IZ121" s="214"/>
      <c r="JA121" s="214"/>
      <c r="JB121" s="214"/>
      <c r="JC121" s="214"/>
      <c r="JD121" s="214"/>
      <c r="JE121" s="214"/>
      <c r="JF121" s="214"/>
      <c r="JG121" s="214"/>
      <c r="JH121" s="214"/>
      <c r="JI121" s="214"/>
    </row>
    <row r="122" spans="1:269">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c r="CG122" s="214"/>
      <c r="CH122" s="214"/>
      <c r="CI122" s="214"/>
      <c r="CJ122" s="214"/>
      <c r="CK122" s="214"/>
      <c r="CL122" s="214"/>
      <c r="CM122" s="214"/>
      <c r="CN122" s="214"/>
      <c r="CO122" s="214"/>
      <c r="CP122" s="214"/>
      <c r="CQ122" s="214"/>
      <c r="CR122" s="214"/>
      <c r="CS122" s="214"/>
      <c r="CT122" s="214"/>
      <c r="CU122" s="214"/>
      <c r="CV122" s="214"/>
      <c r="CW122" s="214"/>
      <c r="CX122" s="214"/>
      <c r="CY122" s="214"/>
      <c r="CZ122" s="214"/>
      <c r="DA122" s="214"/>
      <c r="DB122" s="214"/>
      <c r="DC122" s="214"/>
      <c r="DD122" s="214"/>
      <c r="DE122" s="214"/>
      <c r="DF122" s="214"/>
      <c r="DG122" s="214"/>
      <c r="DH122" s="214"/>
      <c r="DI122" s="214"/>
      <c r="DJ122" s="214"/>
      <c r="DK122" s="214"/>
      <c r="DL122" s="214"/>
      <c r="DM122" s="214"/>
      <c r="DN122" s="214"/>
      <c r="DO122" s="214"/>
      <c r="DP122" s="214"/>
      <c r="DQ122" s="214"/>
      <c r="DR122" s="214"/>
      <c r="DS122" s="214"/>
      <c r="DT122" s="214"/>
      <c r="DU122" s="214"/>
      <c r="DV122" s="214"/>
      <c r="DW122" s="214"/>
      <c r="DX122" s="214"/>
      <c r="DY122" s="214"/>
      <c r="DZ122" s="214"/>
      <c r="EA122" s="214"/>
      <c r="EB122" s="214"/>
      <c r="EC122" s="214"/>
      <c r="ED122" s="214"/>
      <c r="EE122" s="214"/>
      <c r="EF122" s="214"/>
      <c r="EG122" s="214"/>
      <c r="EH122" s="214"/>
      <c r="EI122" s="214"/>
      <c r="EJ122" s="214"/>
      <c r="EK122" s="214"/>
      <c r="EL122" s="214"/>
      <c r="EM122" s="214"/>
      <c r="EN122" s="214"/>
      <c r="EO122" s="214"/>
      <c r="EP122" s="214"/>
      <c r="EQ122" s="214"/>
      <c r="ER122" s="214"/>
      <c r="ES122" s="214"/>
      <c r="ET122" s="214"/>
      <c r="EU122" s="214"/>
      <c r="EV122" s="214"/>
      <c r="EW122" s="214"/>
      <c r="EX122" s="214"/>
      <c r="EY122" s="214"/>
      <c r="EZ122" s="214"/>
      <c r="FA122" s="214"/>
      <c r="FB122" s="214"/>
      <c r="FC122" s="214"/>
      <c r="FD122" s="214"/>
      <c r="FE122" s="214"/>
      <c r="FF122" s="214"/>
      <c r="FG122" s="214"/>
      <c r="FH122" s="214"/>
      <c r="FI122" s="214"/>
      <c r="FJ122" s="214"/>
      <c r="FK122" s="214"/>
      <c r="FL122" s="214"/>
      <c r="FM122" s="214"/>
      <c r="FN122" s="214"/>
      <c r="FO122" s="214"/>
      <c r="FP122" s="214"/>
      <c r="FQ122" s="214"/>
      <c r="FR122" s="214"/>
      <c r="FS122" s="214"/>
      <c r="FT122" s="214"/>
      <c r="FU122" s="214"/>
      <c r="FV122" s="214"/>
      <c r="FW122" s="214"/>
      <c r="FX122" s="214"/>
      <c r="FY122" s="214"/>
      <c r="FZ122" s="214"/>
      <c r="GA122" s="214"/>
      <c r="GB122" s="214"/>
      <c r="GC122" s="214"/>
      <c r="GD122" s="214"/>
      <c r="GE122" s="214"/>
      <c r="GF122" s="214"/>
      <c r="GG122" s="214"/>
      <c r="GH122" s="214"/>
      <c r="GI122" s="214"/>
      <c r="GJ122" s="214"/>
      <c r="GK122" s="214"/>
      <c r="GL122" s="214"/>
      <c r="GM122" s="214"/>
      <c r="GN122" s="214"/>
      <c r="GO122" s="214"/>
      <c r="GP122" s="214"/>
      <c r="GQ122" s="214"/>
      <c r="GR122" s="214"/>
      <c r="GS122" s="214"/>
      <c r="GT122" s="214"/>
      <c r="GU122" s="214"/>
      <c r="GV122" s="214"/>
      <c r="GW122" s="214"/>
      <c r="GX122" s="214"/>
      <c r="GY122" s="214"/>
      <c r="GZ122" s="214"/>
      <c r="HA122" s="214"/>
      <c r="HB122" s="214"/>
      <c r="HC122" s="214"/>
      <c r="HD122" s="214"/>
      <c r="HE122" s="214"/>
      <c r="HF122" s="214"/>
      <c r="HG122" s="214"/>
      <c r="HH122" s="214"/>
      <c r="HI122" s="214"/>
      <c r="HJ122" s="214"/>
      <c r="HK122" s="214"/>
      <c r="HL122" s="214"/>
      <c r="HM122" s="214"/>
      <c r="HN122" s="214"/>
      <c r="HO122" s="214"/>
      <c r="HP122" s="214"/>
      <c r="HQ122" s="214"/>
      <c r="HR122" s="214"/>
      <c r="HS122" s="214"/>
      <c r="HT122" s="214"/>
      <c r="HU122" s="214"/>
      <c r="HV122" s="214"/>
      <c r="HW122" s="214"/>
      <c r="HX122" s="214"/>
      <c r="HY122" s="214"/>
      <c r="HZ122" s="214"/>
      <c r="IA122" s="214"/>
      <c r="IB122" s="214"/>
      <c r="IC122" s="214"/>
      <c r="ID122" s="214"/>
      <c r="IE122" s="214"/>
      <c r="IF122" s="214"/>
      <c r="IG122" s="214"/>
      <c r="IH122" s="214"/>
      <c r="II122" s="214"/>
      <c r="IJ122" s="214"/>
      <c r="IK122" s="214"/>
      <c r="IL122" s="214"/>
      <c r="IM122" s="214"/>
      <c r="IN122" s="214"/>
      <c r="IO122" s="214"/>
      <c r="IP122" s="214"/>
      <c r="IQ122" s="214"/>
      <c r="IR122" s="214"/>
      <c r="IS122" s="214"/>
      <c r="IT122" s="214"/>
      <c r="IU122" s="214"/>
      <c r="IV122" s="214"/>
      <c r="IW122" s="214"/>
      <c r="IX122" s="214"/>
      <c r="IY122" s="214"/>
      <c r="IZ122" s="214"/>
      <c r="JA122" s="214"/>
      <c r="JB122" s="214"/>
      <c r="JC122" s="214"/>
      <c r="JD122" s="214"/>
      <c r="JE122" s="214"/>
      <c r="JF122" s="214"/>
      <c r="JG122" s="214"/>
      <c r="JH122" s="214"/>
      <c r="JI122" s="214"/>
    </row>
    <row r="123" spans="1:269">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c r="CG123" s="214"/>
      <c r="CH123" s="214"/>
      <c r="CI123" s="214"/>
      <c r="CJ123" s="214"/>
      <c r="CK123" s="214"/>
      <c r="CL123" s="214"/>
      <c r="CM123" s="214"/>
      <c r="CN123" s="214"/>
      <c r="CO123" s="214"/>
      <c r="CP123" s="214"/>
      <c r="CQ123" s="214"/>
      <c r="CR123" s="214"/>
      <c r="CS123" s="214"/>
      <c r="CT123" s="214"/>
      <c r="CU123" s="214"/>
      <c r="CV123" s="214"/>
      <c r="CW123" s="214"/>
      <c r="CX123" s="214"/>
      <c r="CY123" s="214"/>
      <c r="CZ123" s="214"/>
      <c r="DA123" s="214"/>
      <c r="DB123" s="214"/>
      <c r="DC123" s="214"/>
      <c r="DD123" s="214"/>
      <c r="DE123" s="214"/>
      <c r="DF123" s="214"/>
      <c r="DG123" s="214"/>
      <c r="DH123" s="214"/>
      <c r="DI123" s="214"/>
      <c r="DJ123" s="214"/>
      <c r="DK123" s="214"/>
      <c r="DL123" s="214"/>
      <c r="DM123" s="214"/>
      <c r="DN123" s="214"/>
      <c r="DO123" s="214"/>
      <c r="DP123" s="214"/>
      <c r="DQ123" s="214"/>
      <c r="DR123" s="214"/>
      <c r="DS123" s="214"/>
      <c r="DT123" s="214"/>
      <c r="DU123" s="214"/>
      <c r="DV123" s="214"/>
      <c r="DW123" s="214"/>
      <c r="DX123" s="214"/>
      <c r="DY123" s="214"/>
      <c r="DZ123" s="214"/>
      <c r="EA123" s="214"/>
      <c r="EB123" s="214"/>
      <c r="EC123" s="214"/>
      <c r="ED123" s="214"/>
      <c r="EE123" s="214"/>
      <c r="EF123" s="214"/>
      <c r="EG123" s="214"/>
      <c r="EH123" s="214"/>
      <c r="EI123" s="214"/>
      <c r="EJ123" s="214"/>
      <c r="EK123" s="214"/>
      <c r="EL123" s="214"/>
      <c r="EM123" s="214"/>
      <c r="EN123" s="214"/>
      <c r="EO123" s="214"/>
      <c r="EP123" s="214"/>
      <c r="EQ123" s="214"/>
      <c r="ER123" s="214"/>
      <c r="ES123" s="214"/>
      <c r="ET123" s="214"/>
      <c r="EU123" s="214"/>
      <c r="EV123" s="214"/>
      <c r="EW123" s="214"/>
      <c r="EX123" s="214"/>
      <c r="EY123" s="214"/>
      <c r="EZ123" s="214"/>
      <c r="FA123" s="214"/>
      <c r="FB123" s="214"/>
      <c r="FC123" s="214"/>
      <c r="FD123" s="214"/>
      <c r="FE123" s="214"/>
      <c r="FF123" s="214"/>
      <c r="FG123" s="214"/>
      <c r="FH123" s="214"/>
      <c r="FI123" s="214"/>
      <c r="FJ123" s="214"/>
      <c r="FK123" s="214"/>
      <c r="FL123" s="214"/>
      <c r="FM123" s="214"/>
      <c r="FN123" s="214"/>
      <c r="FO123" s="214"/>
      <c r="FP123" s="214"/>
      <c r="FQ123" s="214"/>
      <c r="FR123" s="214"/>
      <c r="FS123" s="214"/>
      <c r="FT123" s="214"/>
      <c r="FU123" s="214"/>
      <c r="FV123" s="214"/>
      <c r="FW123" s="214"/>
      <c r="FX123" s="214"/>
      <c r="FY123" s="214"/>
      <c r="FZ123" s="214"/>
      <c r="GA123" s="214"/>
      <c r="GB123" s="214"/>
      <c r="GC123" s="214"/>
      <c r="GD123" s="214"/>
      <c r="GE123" s="214"/>
      <c r="GF123" s="214"/>
      <c r="GG123" s="214"/>
      <c r="GH123" s="214"/>
      <c r="GI123" s="214"/>
      <c r="GJ123" s="214"/>
      <c r="GK123" s="214"/>
      <c r="GL123" s="214"/>
      <c r="GM123" s="214"/>
      <c r="GN123" s="214"/>
      <c r="GO123" s="214"/>
      <c r="GP123" s="214"/>
      <c r="GQ123" s="214"/>
      <c r="GR123" s="214"/>
      <c r="GS123" s="214"/>
      <c r="GT123" s="214"/>
      <c r="GU123" s="214"/>
      <c r="GV123" s="214"/>
      <c r="GW123" s="214"/>
      <c r="GX123" s="214"/>
      <c r="GY123" s="214"/>
      <c r="GZ123" s="214"/>
      <c r="HA123" s="214"/>
      <c r="HB123" s="214"/>
      <c r="HC123" s="214"/>
      <c r="HD123" s="214"/>
      <c r="HE123" s="214"/>
      <c r="HF123" s="214"/>
      <c r="HG123" s="214"/>
      <c r="HH123" s="214"/>
      <c r="HI123" s="214"/>
      <c r="HJ123" s="214"/>
      <c r="HK123" s="214"/>
      <c r="HL123" s="214"/>
      <c r="HM123" s="214"/>
      <c r="HN123" s="214"/>
      <c r="HO123" s="214"/>
      <c r="HP123" s="214"/>
      <c r="HQ123" s="214"/>
      <c r="HR123" s="214"/>
      <c r="HS123" s="214"/>
      <c r="HT123" s="214"/>
      <c r="HU123" s="214"/>
      <c r="HV123" s="214"/>
      <c r="HW123" s="214"/>
      <c r="HX123" s="214"/>
      <c r="HY123" s="214"/>
      <c r="HZ123" s="214"/>
      <c r="IA123" s="214"/>
      <c r="IB123" s="214"/>
      <c r="IC123" s="214"/>
      <c r="ID123" s="214"/>
      <c r="IE123" s="214"/>
      <c r="IF123" s="214"/>
      <c r="IG123" s="214"/>
      <c r="IH123" s="214"/>
      <c r="II123" s="214"/>
      <c r="IJ123" s="214"/>
      <c r="IK123" s="214"/>
      <c r="IL123" s="214"/>
      <c r="IM123" s="214"/>
      <c r="IN123" s="214"/>
      <c r="IO123" s="214"/>
      <c r="IP123" s="214"/>
      <c r="IQ123" s="214"/>
      <c r="IR123" s="214"/>
      <c r="IS123" s="214"/>
      <c r="IT123" s="214"/>
      <c r="IU123" s="214"/>
      <c r="IV123" s="214"/>
      <c r="IW123" s="214"/>
      <c r="IX123" s="214"/>
      <c r="IY123" s="214"/>
      <c r="IZ123" s="214"/>
      <c r="JA123" s="214"/>
      <c r="JB123" s="214"/>
      <c r="JC123" s="214"/>
      <c r="JD123" s="214"/>
      <c r="JE123" s="214"/>
      <c r="JF123" s="214"/>
      <c r="JG123" s="214"/>
      <c r="JH123" s="214"/>
      <c r="JI123" s="214"/>
    </row>
    <row r="124" spans="1:269">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c r="CG124" s="214"/>
      <c r="CH124" s="214"/>
      <c r="CI124" s="214"/>
      <c r="CJ124" s="214"/>
      <c r="CK124" s="214"/>
      <c r="CL124" s="214"/>
      <c r="CM124" s="214"/>
      <c r="CN124" s="214"/>
      <c r="CO124" s="214"/>
      <c r="CP124" s="214"/>
      <c r="CQ124" s="214"/>
      <c r="CR124" s="214"/>
      <c r="CS124" s="214"/>
      <c r="CT124" s="214"/>
      <c r="CU124" s="214"/>
      <c r="CV124" s="214"/>
      <c r="CW124" s="214"/>
      <c r="CX124" s="214"/>
      <c r="CY124" s="214"/>
      <c r="CZ124" s="214"/>
      <c r="DA124" s="214"/>
      <c r="DB124" s="214"/>
      <c r="DC124" s="214"/>
      <c r="DD124" s="214"/>
      <c r="DE124" s="214"/>
      <c r="DF124" s="214"/>
      <c r="DG124" s="214"/>
      <c r="DH124" s="214"/>
      <c r="DI124" s="214"/>
      <c r="DJ124" s="214"/>
      <c r="DK124" s="214"/>
      <c r="DL124" s="214"/>
      <c r="DM124" s="214"/>
      <c r="DN124" s="214"/>
      <c r="DO124" s="214"/>
      <c r="DP124" s="214"/>
      <c r="DQ124" s="214"/>
      <c r="DR124" s="214"/>
      <c r="DS124" s="214"/>
      <c r="DT124" s="214"/>
      <c r="DU124" s="214"/>
      <c r="DV124" s="214"/>
      <c r="DW124" s="214"/>
      <c r="DX124" s="214"/>
      <c r="DY124" s="214"/>
      <c r="DZ124" s="214"/>
      <c r="EA124" s="214"/>
      <c r="EB124" s="214"/>
      <c r="EC124" s="214"/>
      <c r="ED124" s="214"/>
      <c r="EE124" s="214"/>
      <c r="EF124" s="214"/>
      <c r="EG124" s="214"/>
      <c r="EH124" s="214"/>
      <c r="EI124" s="214"/>
      <c r="EJ124" s="214"/>
      <c r="EK124" s="214"/>
      <c r="EL124" s="214"/>
      <c r="EM124" s="214"/>
      <c r="EN124" s="214"/>
      <c r="EO124" s="214"/>
      <c r="EP124" s="214"/>
      <c r="EQ124" s="214"/>
      <c r="ER124" s="214"/>
      <c r="ES124" s="214"/>
      <c r="ET124" s="214"/>
      <c r="EU124" s="214"/>
      <c r="EV124" s="214"/>
      <c r="EW124" s="214"/>
      <c r="EX124" s="214"/>
      <c r="EY124" s="214"/>
      <c r="EZ124" s="214"/>
      <c r="FA124" s="214"/>
      <c r="FB124" s="214"/>
      <c r="FC124" s="214"/>
      <c r="FD124" s="214"/>
      <c r="FE124" s="214"/>
      <c r="FF124" s="214"/>
      <c r="FG124" s="214"/>
      <c r="FH124" s="214"/>
      <c r="FI124" s="214"/>
      <c r="FJ124" s="214"/>
      <c r="FK124" s="214"/>
      <c r="FL124" s="214"/>
      <c r="FM124" s="214"/>
      <c r="FN124" s="214"/>
      <c r="FO124" s="214"/>
      <c r="FP124" s="214"/>
      <c r="FQ124" s="214"/>
      <c r="FR124" s="214"/>
      <c r="FS124" s="214"/>
      <c r="FT124" s="214"/>
      <c r="FU124" s="214"/>
      <c r="FV124" s="214"/>
      <c r="FW124" s="214"/>
      <c r="FX124" s="214"/>
      <c r="FY124" s="214"/>
      <c r="FZ124" s="214"/>
      <c r="GA124" s="214"/>
      <c r="GB124" s="214"/>
      <c r="GC124" s="214"/>
      <c r="GD124" s="214"/>
      <c r="GE124" s="214"/>
      <c r="GF124" s="214"/>
      <c r="GG124" s="214"/>
      <c r="GH124" s="214"/>
      <c r="GI124" s="214"/>
      <c r="GJ124" s="214"/>
      <c r="GK124" s="214"/>
      <c r="GL124" s="214"/>
      <c r="GM124" s="214"/>
      <c r="GN124" s="214"/>
      <c r="GO124" s="214"/>
      <c r="GP124" s="214"/>
      <c r="GQ124" s="214"/>
      <c r="GR124" s="214"/>
      <c r="GS124" s="214"/>
      <c r="GT124" s="214"/>
      <c r="GU124" s="214"/>
      <c r="GV124" s="214"/>
      <c r="GW124" s="214"/>
      <c r="GX124" s="214"/>
      <c r="GY124" s="214"/>
      <c r="GZ124" s="214"/>
      <c r="HA124" s="214"/>
      <c r="HB124" s="214"/>
      <c r="HC124" s="214"/>
      <c r="HD124" s="214"/>
      <c r="HE124" s="214"/>
      <c r="HF124" s="214"/>
      <c r="HG124" s="214"/>
      <c r="HH124" s="214"/>
      <c r="HI124" s="214"/>
      <c r="HJ124" s="214"/>
      <c r="HK124" s="214"/>
      <c r="HL124" s="214"/>
      <c r="HM124" s="214"/>
      <c r="HN124" s="214"/>
      <c r="HO124" s="214"/>
      <c r="HP124" s="214"/>
      <c r="HQ124" s="214"/>
      <c r="HR124" s="214"/>
      <c r="HS124" s="214"/>
      <c r="HT124" s="214"/>
      <c r="HU124" s="214"/>
      <c r="HV124" s="214"/>
      <c r="HW124" s="214"/>
      <c r="HX124" s="214"/>
      <c r="HY124" s="214"/>
      <c r="HZ124" s="214"/>
      <c r="IA124" s="214"/>
      <c r="IB124" s="214"/>
      <c r="IC124" s="214"/>
      <c r="ID124" s="214"/>
      <c r="IE124" s="214"/>
      <c r="IF124" s="214"/>
      <c r="IG124" s="214"/>
      <c r="IH124" s="214"/>
      <c r="II124" s="214"/>
      <c r="IJ124" s="214"/>
      <c r="IK124" s="214"/>
      <c r="IL124" s="214"/>
      <c r="IM124" s="214"/>
      <c r="IN124" s="214"/>
      <c r="IO124" s="214"/>
      <c r="IP124" s="214"/>
      <c r="IQ124" s="214"/>
      <c r="IR124" s="214"/>
      <c r="IS124" s="214"/>
      <c r="IT124" s="214"/>
      <c r="IU124" s="214"/>
      <c r="IV124" s="214"/>
      <c r="IW124" s="214"/>
      <c r="IX124" s="214"/>
      <c r="IY124" s="214"/>
      <c r="IZ124" s="214"/>
      <c r="JA124" s="214"/>
      <c r="JB124" s="214"/>
      <c r="JC124" s="214"/>
      <c r="JD124" s="214"/>
      <c r="JE124" s="214"/>
      <c r="JF124" s="214"/>
      <c r="JG124" s="214"/>
      <c r="JH124" s="214"/>
      <c r="JI124" s="214"/>
    </row>
    <row r="125" spans="1:269">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c r="CG125" s="214"/>
      <c r="CH125" s="214"/>
      <c r="CI125" s="214"/>
      <c r="CJ125" s="214"/>
      <c r="CK125" s="214"/>
      <c r="CL125" s="214"/>
      <c r="CM125" s="214"/>
      <c r="CN125" s="214"/>
      <c r="CO125" s="214"/>
      <c r="CP125" s="214"/>
      <c r="CQ125" s="214"/>
      <c r="CR125" s="214"/>
      <c r="CS125" s="214"/>
      <c r="CT125" s="214"/>
      <c r="CU125" s="214"/>
      <c r="CV125" s="214"/>
      <c r="CW125" s="214"/>
      <c r="CX125" s="214"/>
      <c r="CY125" s="214"/>
      <c r="CZ125" s="214"/>
      <c r="DA125" s="214"/>
      <c r="DB125" s="214"/>
      <c r="DC125" s="214"/>
      <c r="DD125" s="214"/>
      <c r="DE125" s="214"/>
      <c r="DF125" s="214"/>
      <c r="DG125" s="214"/>
      <c r="DH125" s="214"/>
      <c r="DI125" s="214"/>
      <c r="DJ125" s="214"/>
      <c r="DK125" s="214"/>
      <c r="DL125" s="214"/>
      <c r="DM125" s="214"/>
      <c r="DN125" s="214"/>
      <c r="DO125" s="214"/>
      <c r="DP125" s="214"/>
      <c r="DQ125" s="214"/>
      <c r="DR125" s="214"/>
      <c r="DS125" s="214"/>
      <c r="DT125" s="214"/>
      <c r="DU125" s="214"/>
      <c r="DV125" s="214"/>
      <c r="DW125" s="214"/>
      <c r="DX125" s="214"/>
      <c r="DY125" s="214"/>
      <c r="DZ125" s="214"/>
      <c r="EA125" s="214"/>
      <c r="EB125" s="214"/>
      <c r="EC125" s="214"/>
      <c r="ED125" s="214"/>
      <c r="EE125" s="214"/>
      <c r="EF125" s="214"/>
      <c r="EG125" s="214"/>
      <c r="EH125" s="214"/>
      <c r="EI125" s="214"/>
      <c r="EJ125" s="214"/>
      <c r="EK125" s="214"/>
      <c r="EL125" s="214"/>
      <c r="EM125" s="214"/>
      <c r="EN125" s="214"/>
      <c r="EO125" s="214"/>
      <c r="EP125" s="214"/>
      <c r="EQ125" s="214"/>
      <c r="ER125" s="214"/>
      <c r="ES125" s="214"/>
      <c r="ET125" s="214"/>
      <c r="EU125" s="214"/>
      <c r="EV125" s="214"/>
      <c r="EW125" s="214"/>
      <c r="EX125" s="214"/>
      <c r="EY125" s="214"/>
      <c r="EZ125" s="214"/>
      <c r="FA125" s="214"/>
      <c r="FB125" s="214"/>
      <c r="FC125" s="214"/>
      <c r="FD125" s="214"/>
      <c r="FE125" s="214"/>
      <c r="FF125" s="214"/>
      <c r="FG125" s="214"/>
      <c r="FH125" s="214"/>
      <c r="FI125" s="214"/>
      <c r="FJ125" s="214"/>
      <c r="FK125" s="214"/>
      <c r="FL125" s="214"/>
      <c r="FM125" s="214"/>
      <c r="FN125" s="214"/>
      <c r="FO125" s="214"/>
      <c r="FP125" s="214"/>
      <c r="FQ125" s="214"/>
      <c r="FR125" s="214"/>
      <c r="FS125" s="214"/>
      <c r="FT125" s="214"/>
      <c r="FU125" s="214"/>
      <c r="FV125" s="214"/>
      <c r="FW125" s="214"/>
      <c r="FX125" s="214"/>
      <c r="FY125" s="214"/>
      <c r="FZ125" s="214"/>
      <c r="GA125" s="214"/>
      <c r="GB125" s="214"/>
      <c r="GC125" s="214"/>
      <c r="GD125" s="214"/>
      <c r="GE125" s="214"/>
      <c r="GF125" s="214"/>
      <c r="GG125" s="214"/>
      <c r="GH125" s="214"/>
      <c r="GI125" s="214"/>
      <c r="GJ125" s="214"/>
      <c r="GK125" s="214"/>
      <c r="GL125" s="214"/>
      <c r="GM125" s="214"/>
      <c r="GN125" s="214"/>
      <c r="GO125" s="214"/>
      <c r="GP125" s="214"/>
      <c r="GQ125" s="214"/>
      <c r="GR125" s="214"/>
      <c r="GS125" s="214"/>
      <c r="GT125" s="214"/>
      <c r="GU125" s="214"/>
      <c r="GV125" s="214"/>
      <c r="GW125" s="214"/>
      <c r="GX125" s="214"/>
      <c r="GY125" s="214"/>
      <c r="GZ125" s="214"/>
      <c r="HA125" s="214"/>
      <c r="HB125" s="214"/>
      <c r="HC125" s="214"/>
      <c r="HD125" s="214"/>
      <c r="HE125" s="214"/>
      <c r="HF125" s="214"/>
      <c r="HG125" s="214"/>
      <c r="HH125" s="214"/>
      <c r="HI125" s="214"/>
      <c r="HJ125" s="214"/>
      <c r="HK125" s="214"/>
      <c r="HL125" s="214"/>
      <c r="HM125" s="214"/>
      <c r="HN125" s="214"/>
      <c r="HO125" s="214"/>
      <c r="HP125" s="214"/>
      <c r="HQ125" s="214"/>
      <c r="HR125" s="214"/>
      <c r="HS125" s="214"/>
      <c r="HT125" s="214"/>
      <c r="HU125" s="214"/>
      <c r="HV125" s="214"/>
      <c r="HW125" s="214"/>
      <c r="HX125" s="214"/>
      <c r="HY125" s="214"/>
      <c r="HZ125" s="214"/>
      <c r="IA125" s="214"/>
      <c r="IB125" s="214"/>
      <c r="IC125" s="214"/>
      <c r="ID125" s="214"/>
      <c r="IE125" s="214"/>
      <c r="IF125" s="214"/>
      <c r="IG125" s="214"/>
      <c r="IH125" s="214"/>
      <c r="II125" s="214"/>
      <c r="IJ125" s="214"/>
      <c r="IK125" s="214"/>
      <c r="IL125" s="214"/>
      <c r="IM125" s="214"/>
      <c r="IN125" s="214"/>
      <c r="IO125" s="214"/>
      <c r="IP125" s="214"/>
      <c r="IQ125" s="214"/>
      <c r="IR125" s="214"/>
      <c r="IS125" s="214"/>
      <c r="IT125" s="214"/>
      <c r="IU125" s="214"/>
      <c r="IV125" s="214"/>
      <c r="IW125" s="214"/>
      <c r="IX125" s="214"/>
      <c r="IY125" s="214"/>
      <c r="IZ125" s="214"/>
      <c r="JA125" s="214"/>
      <c r="JB125" s="214"/>
      <c r="JC125" s="214"/>
      <c r="JD125" s="214"/>
      <c r="JE125" s="214"/>
      <c r="JF125" s="214"/>
      <c r="JG125" s="214"/>
      <c r="JH125" s="214"/>
      <c r="JI125" s="214"/>
    </row>
    <row r="126" spans="1:269">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c r="CG126" s="214"/>
      <c r="CH126" s="214"/>
      <c r="CI126" s="214"/>
      <c r="CJ126" s="214"/>
      <c r="CK126" s="214"/>
      <c r="CL126" s="214"/>
      <c r="CM126" s="214"/>
      <c r="CN126" s="214"/>
      <c r="CO126" s="214"/>
      <c r="CP126" s="214"/>
      <c r="CQ126" s="214"/>
      <c r="CR126" s="214"/>
      <c r="CS126" s="214"/>
      <c r="CT126" s="214"/>
      <c r="CU126" s="214"/>
      <c r="CV126" s="214"/>
      <c r="CW126" s="214"/>
      <c r="CX126" s="214"/>
      <c r="CY126" s="214"/>
      <c r="CZ126" s="214"/>
      <c r="DA126" s="214"/>
      <c r="DB126" s="214"/>
      <c r="DC126" s="214"/>
      <c r="DD126" s="214"/>
      <c r="DE126" s="214"/>
      <c r="DF126" s="214"/>
      <c r="DG126" s="214"/>
      <c r="DH126" s="214"/>
      <c r="DI126" s="214"/>
      <c r="DJ126" s="214"/>
      <c r="DK126" s="214"/>
      <c r="DL126" s="214"/>
      <c r="DM126" s="214"/>
      <c r="DN126" s="214"/>
      <c r="DO126" s="214"/>
      <c r="DP126" s="214"/>
      <c r="DQ126" s="214"/>
      <c r="DR126" s="214"/>
      <c r="DS126" s="214"/>
      <c r="DT126" s="214"/>
      <c r="DU126" s="214"/>
      <c r="DV126" s="214"/>
      <c r="DW126" s="214"/>
      <c r="DX126" s="214"/>
      <c r="DY126" s="214"/>
      <c r="DZ126" s="214"/>
      <c r="EA126" s="214"/>
      <c r="EB126" s="214"/>
      <c r="EC126" s="214"/>
      <c r="ED126" s="214"/>
      <c r="EE126" s="214"/>
      <c r="EF126" s="214"/>
      <c r="EG126" s="214"/>
      <c r="EH126" s="214"/>
      <c r="EI126" s="214"/>
      <c r="EJ126" s="214"/>
      <c r="EK126" s="214"/>
      <c r="EL126" s="214"/>
      <c r="EM126" s="214"/>
      <c r="EN126" s="214"/>
      <c r="EO126" s="214"/>
      <c r="EP126" s="214"/>
      <c r="EQ126" s="214"/>
      <c r="ER126" s="214"/>
      <c r="ES126" s="214"/>
      <c r="ET126" s="214"/>
      <c r="EU126" s="214"/>
      <c r="EV126" s="214"/>
      <c r="EW126" s="214"/>
      <c r="EX126" s="214"/>
      <c r="EY126" s="214"/>
      <c r="EZ126" s="214"/>
      <c r="FA126" s="214"/>
      <c r="FB126" s="214"/>
      <c r="FC126" s="214"/>
      <c r="FD126" s="214"/>
      <c r="FE126" s="214"/>
      <c r="FF126" s="214"/>
      <c r="FG126" s="214"/>
      <c r="FH126" s="214"/>
      <c r="FI126" s="214"/>
      <c r="FJ126" s="214"/>
      <c r="FK126" s="214"/>
      <c r="FL126" s="214"/>
      <c r="FM126" s="214"/>
      <c r="FN126" s="214"/>
      <c r="FO126" s="214"/>
      <c r="FP126" s="214"/>
      <c r="FQ126" s="214"/>
      <c r="FR126" s="214"/>
      <c r="FS126" s="214"/>
      <c r="FT126" s="214"/>
      <c r="FU126" s="214"/>
      <c r="FV126" s="214"/>
      <c r="FW126" s="214"/>
      <c r="FX126" s="214"/>
      <c r="FY126" s="214"/>
      <c r="FZ126" s="214"/>
      <c r="GA126" s="214"/>
      <c r="GB126" s="214"/>
      <c r="GC126" s="214"/>
      <c r="GD126" s="214"/>
      <c r="GE126" s="214"/>
      <c r="GF126" s="214"/>
      <c r="GG126" s="214"/>
      <c r="GH126" s="214"/>
      <c r="GI126" s="214"/>
      <c r="GJ126" s="214"/>
      <c r="GK126" s="214"/>
      <c r="GL126" s="214"/>
      <c r="GM126" s="214"/>
      <c r="GN126" s="214"/>
      <c r="GO126" s="214"/>
      <c r="GP126" s="214"/>
      <c r="GQ126" s="214"/>
      <c r="GR126" s="214"/>
      <c r="GS126" s="214"/>
      <c r="GT126" s="214"/>
      <c r="GU126" s="214"/>
      <c r="GV126" s="214"/>
      <c r="GW126" s="214"/>
      <c r="GX126" s="214"/>
      <c r="GY126" s="214"/>
      <c r="GZ126" s="214"/>
      <c r="HA126" s="214"/>
      <c r="HB126" s="214"/>
      <c r="HC126" s="214"/>
      <c r="HD126" s="214"/>
      <c r="HE126" s="214"/>
      <c r="HF126" s="214"/>
      <c r="HG126" s="214"/>
      <c r="HH126" s="214"/>
      <c r="HI126" s="214"/>
      <c r="HJ126" s="214"/>
      <c r="HK126" s="214"/>
      <c r="HL126" s="214"/>
      <c r="HM126" s="214"/>
      <c r="HN126" s="214"/>
      <c r="HO126" s="214"/>
      <c r="HP126" s="214"/>
      <c r="HQ126" s="214"/>
      <c r="HR126" s="214"/>
      <c r="HS126" s="214"/>
      <c r="HT126" s="214"/>
      <c r="HU126" s="214"/>
      <c r="HV126" s="214"/>
      <c r="HW126" s="214"/>
      <c r="HX126" s="214"/>
      <c r="HY126" s="214"/>
      <c r="HZ126" s="214"/>
      <c r="IA126" s="214"/>
      <c r="IB126" s="214"/>
      <c r="IC126" s="214"/>
      <c r="ID126" s="214"/>
      <c r="IE126" s="214"/>
      <c r="IF126" s="214"/>
      <c r="IG126" s="214"/>
      <c r="IH126" s="214"/>
      <c r="II126" s="214"/>
      <c r="IJ126" s="214"/>
      <c r="IK126" s="214"/>
      <c r="IL126" s="214"/>
      <c r="IM126" s="214"/>
      <c r="IN126" s="214"/>
      <c r="IO126" s="214"/>
      <c r="IP126" s="214"/>
      <c r="IQ126" s="214"/>
      <c r="IR126" s="214"/>
      <c r="IS126" s="214"/>
      <c r="IT126" s="214"/>
      <c r="IU126" s="214"/>
      <c r="IV126" s="214"/>
      <c r="IW126" s="214"/>
      <c r="IX126" s="214"/>
      <c r="IY126" s="214"/>
      <c r="IZ126" s="214"/>
      <c r="JA126" s="214"/>
      <c r="JB126" s="214"/>
      <c r="JC126" s="214"/>
      <c r="JD126" s="214"/>
      <c r="JE126" s="214"/>
      <c r="JF126" s="214"/>
      <c r="JG126" s="214"/>
      <c r="JH126" s="214"/>
      <c r="JI126" s="214"/>
    </row>
    <row r="127" spans="1:269">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c r="CG127" s="214"/>
      <c r="CH127" s="214"/>
      <c r="CI127" s="214"/>
      <c r="CJ127" s="214"/>
      <c r="CK127" s="214"/>
      <c r="CL127" s="214"/>
      <c r="CM127" s="214"/>
      <c r="CN127" s="214"/>
      <c r="CO127" s="214"/>
      <c r="CP127" s="214"/>
      <c r="CQ127" s="214"/>
      <c r="CR127" s="214"/>
      <c r="CS127" s="214"/>
      <c r="CT127" s="214"/>
      <c r="CU127" s="214"/>
      <c r="CV127" s="214"/>
      <c r="CW127" s="214"/>
      <c r="CX127" s="214"/>
      <c r="CY127" s="214"/>
      <c r="CZ127" s="214"/>
      <c r="DA127" s="214"/>
      <c r="DB127" s="214"/>
      <c r="DC127" s="214"/>
      <c r="DD127" s="214"/>
      <c r="DE127" s="214"/>
      <c r="DF127" s="214"/>
      <c r="DG127" s="214"/>
      <c r="DH127" s="214"/>
      <c r="DI127" s="214"/>
      <c r="DJ127" s="214"/>
      <c r="DK127" s="214"/>
      <c r="DL127" s="214"/>
      <c r="DM127" s="214"/>
      <c r="DN127" s="214"/>
      <c r="DO127" s="214"/>
      <c r="DP127" s="214"/>
      <c r="DQ127" s="214"/>
      <c r="DR127" s="214"/>
      <c r="DS127" s="214"/>
      <c r="DT127" s="214"/>
      <c r="DU127" s="214"/>
      <c r="DV127" s="214"/>
      <c r="DW127" s="214"/>
      <c r="DX127" s="214"/>
      <c r="DY127" s="214"/>
      <c r="DZ127" s="214"/>
      <c r="EA127" s="214"/>
      <c r="EB127" s="214"/>
      <c r="EC127" s="214"/>
      <c r="ED127" s="214"/>
      <c r="EE127" s="214"/>
      <c r="EF127" s="214"/>
      <c r="EG127" s="214"/>
      <c r="EH127" s="214"/>
      <c r="EI127" s="214"/>
      <c r="EJ127" s="214"/>
      <c r="EK127" s="214"/>
      <c r="EL127" s="214"/>
      <c r="EM127" s="214"/>
      <c r="EN127" s="214"/>
      <c r="EO127" s="214"/>
      <c r="EP127" s="214"/>
      <c r="EQ127" s="214"/>
      <c r="ER127" s="214"/>
      <c r="ES127" s="214"/>
      <c r="ET127" s="214"/>
      <c r="EU127" s="214"/>
      <c r="EV127" s="214"/>
      <c r="EW127" s="214"/>
      <c r="EX127" s="214"/>
      <c r="EY127" s="214"/>
      <c r="EZ127" s="214"/>
      <c r="FA127" s="214"/>
      <c r="FB127" s="214"/>
      <c r="FC127" s="214"/>
      <c r="FD127" s="214"/>
      <c r="FE127" s="214"/>
      <c r="FF127" s="214"/>
      <c r="FG127" s="214"/>
      <c r="FH127" s="214"/>
      <c r="FI127" s="214"/>
      <c r="FJ127" s="214"/>
      <c r="FK127" s="214"/>
      <c r="FL127" s="214"/>
      <c r="FM127" s="214"/>
      <c r="FN127" s="214"/>
      <c r="FO127" s="214"/>
      <c r="FP127" s="214"/>
      <c r="FQ127" s="214"/>
      <c r="FR127" s="214"/>
      <c r="FS127" s="214"/>
      <c r="FT127" s="214"/>
      <c r="FU127" s="214"/>
      <c r="FV127" s="214"/>
      <c r="FW127" s="214"/>
      <c r="FX127" s="214"/>
      <c r="FY127" s="214"/>
      <c r="FZ127" s="214"/>
      <c r="GA127" s="214"/>
      <c r="GB127" s="214"/>
      <c r="GC127" s="214"/>
      <c r="GD127" s="214"/>
      <c r="GE127" s="214"/>
      <c r="GF127" s="214"/>
      <c r="GG127" s="214"/>
      <c r="GH127" s="214"/>
      <c r="GI127" s="214"/>
      <c r="GJ127" s="214"/>
      <c r="GK127" s="214"/>
      <c r="GL127" s="214"/>
      <c r="GM127" s="214"/>
      <c r="GN127" s="214"/>
      <c r="GO127" s="214"/>
      <c r="GP127" s="214"/>
      <c r="GQ127" s="214"/>
      <c r="GR127" s="214"/>
      <c r="GS127" s="214"/>
      <c r="GT127" s="214"/>
      <c r="GU127" s="214"/>
      <c r="GV127" s="214"/>
      <c r="GW127" s="214"/>
      <c r="GX127" s="214"/>
      <c r="GY127" s="214"/>
      <c r="GZ127" s="214"/>
      <c r="HA127" s="214"/>
      <c r="HB127" s="214"/>
      <c r="HC127" s="214"/>
      <c r="HD127" s="214"/>
      <c r="HE127" s="214"/>
      <c r="HF127" s="214"/>
      <c r="HG127" s="214"/>
      <c r="HH127" s="214"/>
      <c r="HI127" s="214"/>
      <c r="HJ127" s="214"/>
      <c r="HK127" s="214"/>
      <c r="HL127" s="214"/>
      <c r="HM127" s="214"/>
      <c r="HN127" s="214"/>
      <c r="HO127" s="214"/>
      <c r="HP127" s="214"/>
      <c r="HQ127" s="214"/>
      <c r="HR127" s="214"/>
      <c r="HS127" s="214"/>
      <c r="HT127" s="214"/>
      <c r="HU127" s="214"/>
      <c r="HV127" s="214"/>
      <c r="HW127" s="214"/>
      <c r="HX127" s="214"/>
      <c r="HY127" s="214"/>
      <c r="HZ127" s="214"/>
      <c r="IA127" s="214"/>
      <c r="IB127" s="214"/>
      <c r="IC127" s="214"/>
      <c r="ID127" s="214"/>
      <c r="IE127" s="214"/>
      <c r="IF127" s="214"/>
      <c r="IG127" s="214"/>
      <c r="IH127" s="214"/>
      <c r="II127" s="214"/>
      <c r="IJ127" s="214"/>
      <c r="IK127" s="214"/>
      <c r="IL127" s="214"/>
      <c r="IM127" s="214"/>
      <c r="IN127" s="214"/>
      <c r="IO127" s="214"/>
      <c r="IP127" s="214"/>
      <c r="IQ127" s="214"/>
      <c r="IR127" s="214"/>
      <c r="IS127" s="214"/>
      <c r="IT127" s="214"/>
      <c r="IU127" s="214"/>
      <c r="IV127" s="214"/>
      <c r="IW127" s="214"/>
      <c r="IX127" s="214"/>
      <c r="IY127" s="214"/>
      <c r="IZ127" s="214"/>
      <c r="JA127" s="214"/>
      <c r="JB127" s="214"/>
      <c r="JC127" s="214"/>
      <c r="JD127" s="214"/>
      <c r="JE127" s="214"/>
      <c r="JF127" s="214"/>
      <c r="JG127" s="214"/>
      <c r="JH127" s="214"/>
      <c r="JI127" s="214"/>
    </row>
    <row r="128" spans="1:269">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c r="CG128" s="214"/>
      <c r="CH128" s="214"/>
      <c r="CI128" s="214"/>
      <c r="CJ128" s="214"/>
      <c r="CK128" s="214"/>
      <c r="CL128" s="214"/>
      <c r="CM128" s="214"/>
      <c r="CN128" s="214"/>
      <c r="CO128" s="214"/>
      <c r="CP128" s="214"/>
      <c r="CQ128" s="214"/>
      <c r="CR128" s="214"/>
      <c r="CS128" s="214"/>
      <c r="CT128" s="214"/>
      <c r="CU128" s="214"/>
      <c r="CV128" s="214"/>
      <c r="CW128" s="214"/>
      <c r="CX128" s="214"/>
      <c r="CY128" s="214"/>
      <c r="CZ128" s="214"/>
      <c r="DA128" s="214"/>
      <c r="DB128" s="214"/>
      <c r="DC128" s="214"/>
      <c r="DD128" s="214"/>
      <c r="DE128" s="214"/>
      <c r="DF128" s="214"/>
      <c r="DG128" s="214"/>
      <c r="DH128" s="214"/>
      <c r="DI128" s="214"/>
      <c r="DJ128" s="214"/>
      <c r="DK128" s="214"/>
      <c r="DL128" s="214"/>
      <c r="DM128" s="214"/>
      <c r="DN128" s="214"/>
      <c r="DO128" s="214"/>
      <c r="DP128" s="214"/>
      <c r="DQ128" s="214"/>
      <c r="DR128" s="214"/>
      <c r="DS128" s="214"/>
      <c r="DT128" s="214"/>
      <c r="DU128" s="214"/>
      <c r="DV128" s="214"/>
      <c r="DW128" s="214"/>
      <c r="DX128" s="214"/>
      <c r="DY128" s="214"/>
      <c r="DZ128" s="214"/>
      <c r="EA128" s="214"/>
      <c r="EB128" s="214"/>
      <c r="EC128" s="214"/>
      <c r="ED128" s="214"/>
      <c r="EE128" s="214"/>
      <c r="EF128" s="214"/>
      <c r="EG128" s="214"/>
      <c r="EH128" s="214"/>
      <c r="EI128" s="214"/>
      <c r="EJ128" s="214"/>
      <c r="EK128" s="214"/>
      <c r="EL128" s="214"/>
      <c r="EM128" s="214"/>
      <c r="EN128" s="214"/>
      <c r="EO128" s="214"/>
      <c r="EP128" s="214"/>
      <c r="EQ128" s="214"/>
      <c r="ER128" s="214"/>
      <c r="ES128" s="214"/>
      <c r="ET128" s="214"/>
      <c r="EU128" s="214"/>
      <c r="EV128" s="214"/>
      <c r="EW128" s="214"/>
      <c r="EX128" s="214"/>
      <c r="EY128" s="214"/>
      <c r="EZ128" s="214"/>
      <c r="FA128" s="214"/>
      <c r="FB128" s="214"/>
      <c r="FC128" s="214"/>
      <c r="FD128" s="214"/>
      <c r="FE128" s="214"/>
      <c r="FF128" s="214"/>
      <c r="FG128" s="214"/>
      <c r="FH128" s="214"/>
      <c r="FI128" s="214"/>
      <c r="FJ128" s="214"/>
      <c r="FK128" s="214"/>
      <c r="FL128" s="214"/>
      <c r="FM128" s="214"/>
      <c r="FN128" s="214"/>
      <c r="FO128" s="214"/>
      <c r="FP128" s="214"/>
      <c r="FQ128" s="214"/>
      <c r="FR128" s="214"/>
      <c r="FS128" s="214"/>
      <c r="FT128" s="214"/>
      <c r="FU128" s="214"/>
      <c r="FV128" s="214"/>
      <c r="FW128" s="214"/>
      <c r="FX128" s="214"/>
      <c r="FY128" s="214"/>
      <c r="FZ128" s="214"/>
      <c r="GA128" s="214"/>
      <c r="GB128" s="214"/>
      <c r="GC128" s="214"/>
      <c r="GD128" s="214"/>
      <c r="GE128" s="214"/>
      <c r="GF128" s="214"/>
      <c r="GG128" s="214"/>
      <c r="GH128" s="214"/>
      <c r="GI128" s="214"/>
      <c r="GJ128" s="214"/>
      <c r="GK128" s="214"/>
      <c r="GL128" s="214"/>
      <c r="GM128" s="214"/>
      <c r="GN128" s="214"/>
      <c r="GO128" s="214"/>
      <c r="GP128" s="214"/>
      <c r="GQ128" s="214"/>
      <c r="GR128" s="214"/>
      <c r="GS128" s="214"/>
      <c r="GT128" s="214"/>
      <c r="GU128" s="214"/>
      <c r="GV128" s="214"/>
      <c r="GW128" s="214"/>
      <c r="GX128" s="214"/>
      <c r="GY128" s="214"/>
      <c r="GZ128" s="214"/>
      <c r="HA128" s="214"/>
      <c r="HB128" s="214"/>
      <c r="HC128" s="214"/>
      <c r="HD128" s="214"/>
      <c r="HE128" s="214"/>
      <c r="HF128" s="214"/>
      <c r="HG128" s="214"/>
      <c r="HH128" s="214"/>
      <c r="HI128" s="214"/>
      <c r="HJ128" s="214"/>
      <c r="HK128" s="214"/>
      <c r="HL128" s="214"/>
      <c r="HM128" s="214"/>
      <c r="HN128" s="214"/>
      <c r="HO128" s="214"/>
      <c r="HP128" s="214"/>
      <c r="HQ128" s="214"/>
      <c r="HR128" s="214"/>
      <c r="HS128" s="214"/>
      <c r="HT128" s="214"/>
      <c r="HU128" s="214"/>
      <c r="HV128" s="214"/>
      <c r="HW128" s="214"/>
      <c r="HX128" s="214"/>
      <c r="HY128" s="214"/>
      <c r="HZ128" s="214"/>
      <c r="IA128" s="214"/>
      <c r="IB128" s="214"/>
      <c r="IC128" s="214"/>
      <c r="ID128" s="214"/>
      <c r="IE128" s="214"/>
      <c r="IF128" s="214"/>
      <c r="IG128" s="214"/>
      <c r="IH128" s="214"/>
      <c r="II128" s="214"/>
      <c r="IJ128" s="214"/>
      <c r="IK128" s="214"/>
      <c r="IL128" s="214"/>
      <c r="IM128" s="214"/>
      <c r="IN128" s="214"/>
      <c r="IO128" s="214"/>
      <c r="IP128" s="214"/>
      <c r="IQ128" s="214"/>
      <c r="IR128" s="214"/>
      <c r="IS128" s="214"/>
      <c r="IT128" s="214"/>
      <c r="IU128" s="214"/>
      <c r="IV128" s="214"/>
      <c r="IW128" s="214"/>
      <c r="IX128" s="214"/>
      <c r="IY128" s="214"/>
      <c r="IZ128" s="214"/>
      <c r="JA128" s="214"/>
      <c r="JB128" s="214"/>
      <c r="JC128" s="214"/>
      <c r="JD128" s="214"/>
      <c r="JE128" s="214"/>
      <c r="JF128" s="214"/>
      <c r="JG128" s="214"/>
      <c r="JH128" s="214"/>
      <c r="JI128" s="214"/>
    </row>
    <row r="129" spans="1:269">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c r="CG129" s="214"/>
      <c r="CH129" s="214"/>
      <c r="CI129" s="214"/>
      <c r="CJ129" s="214"/>
      <c r="CK129" s="214"/>
      <c r="CL129" s="214"/>
      <c r="CM129" s="214"/>
      <c r="CN129" s="214"/>
      <c r="CO129" s="214"/>
      <c r="CP129" s="214"/>
      <c r="CQ129" s="214"/>
      <c r="CR129" s="214"/>
      <c r="CS129" s="214"/>
      <c r="CT129" s="214"/>
      <c r="CU129" s="214"/>
      <c r="CV129" s="214"/>
      <c r="CW129" s="214"/>
      <c r="CX129" s="214"/>
      <c r="CY129" s="214"/>
      <c r="CZ129" s="214"/>
      <c r="DA129" s="214"/>
      <c r="DB129" s="214"/>
      <c r="DC129" s="214"/>
      <c r="DD129" s="214"/>
      <c r="DE129" s="214"/>
      <c r="DF129" s="214"/>
      <c r="DG129" s="214"/>
      <c r="DH129" s="214"/>
      <c r="DI129" s="214"/>
      <c r="DJ129" s="214"/>
      <c r="DK129" s="214"/>
      <c r="DL129" s="214"/>
      <c r="DM129" s="214"/>
      <c r="DN129" s="214"/>
      <c r="DO129" s="214"/>
      <c r="DP129" s="214"/>
      <c r="DQ129" s="214"/>
      <c r="DR129" s="214"/>
      <c r="DS129" s="214"/>
      <c r="DT129" s="214"/>
      <c r="DU129" s="214"/>
      <c r="DV129" s="214"/>
      <c r="DW129" s="214"/>
      <c r="DX129" s="214"/>
      <c r="DY129" s="214"/>
      <c r="DZ129" s="214"/>
      <c r="EA129" s="214"/>
      <c r="EB129" s="214"/>
      <c r="EC129" s="214"/>
      <c r="ED129" s="214"/>
      <c r="EE129" s="214"/>
      <c r="EF129" s="214"/>
      <c r="EG129" s="214"/>
      <c r="EH129" s="214"/>
      <c r="EI129" s="214"/>
      <c r="EJ129" s="214"/>
      <c r="EK129" s="214"/>
      <c r="EL129" s="214"/>
      <c r="EM129" s="214"/>
      <c r="EN129" s="214"/>
      <c r="EO129" s="214"/>
      <c r="EP129" s="214"/>
      <c r="EQ129" s="214"/>
      <c r="ER129" s="214"/>
      <c r="ES129" s="214"/>
      <c r="ET129" s="214"/>
      <c r="EU129" s="214"/>
      <c r="EV129" s="214"/>
      <c r="EW129" s="214"/>
      <c r="EX129" s="214"/>
      <c r="EY129" s="214"/>
      <c r="EZ129" s="214"/>
      <c r="FA129" s="214"/>
      <c r="FB129" s="214"/>
      <c r="FC129" s="214"/>
      <c r="FD129" s="214"/>
      <c r="FE129" s="214"/>
      <c r="FF129" s="214"/>
      <c r="FG129" s="214"/>
      <c r="FH129" s="214"/>
      <c r="FI129" s="214"/>
      <c r="FJ129" s="214"/>
      <c r="FK129" s="214"/>
      <c r="FL129" s="214"/>
      <c r="FM129" s="214"/>
      <c r="FN129" s="214"/>
      <c r="FO129" s="214"/>
      <c r="FP129" s="214"/>
      <c r="FQ129" s="214"/>
      <c r="FR129" s="214"/>
      <c r="FS129" s="214"/>
      <c r="FT129" s="214"/>
      <c r="FU129" s="214"/>
      <c r="FV129" s="214"/>
      <c r="FW129" s="214"/>
      <c r="FX129" s="214"/>
      <c r="FY129" s="214"/>
      <c r="FZ129" s="214"/>
      <c r="GA129" s="214"/>
      <c r="GB129" s="214"/>
      <c r="GC129" s="214"/>
      <c r="GD129" s="214"/>
      <c r="GE129" s="214"/>
      <c r="GF129" s="214"/>
      <c r="GG129" s="214"/>
      <c r="GH129" s="214"/>
      <c r="GI129" s="214"/>
      <c r="GJ129" s="214"/>
      <c r="GK129" s="214"/>
      <c r="GL129" s="214"/>
      <c r="GM129" s="214"/>
      <c r="GN129" s="214"/>
      <c r="GO129" s="214"/>
      <c r="GP129" s="214"/>
      <c r="GQ129" s="214"/>
      <c r="GR129" s="214"/>
      <c r="GS129" s="214"/>
      <c r="GT129" s="214"/>
      <c r="GU129" s="214"/>
      <c r="GV129" s="214"/>
      <c r="GW129" s="214"/>
      <c r="GX129" s="214"/>
      <c r="GY129" s="214"/>
      <c r="GZ129" s="214"/>
      <c r="HA129" s="214"/>
      <c r="HB129" s="214"/>
      <c r="HC129" s="214"/>
      <c r="HD129" s="214"/>
      <c r="HE129" s="214"/>
      <c r="HF129" s="214"/>
      <c r="HG129" s="214"/>
      <c r="HH129" s="214"/>
      <c r="HI129" s="214"/>
      <c r="HJ129" s="214"/>
      <c r="HK129" s="214"/>
      <c r="HL129" s="214"/>
      <c r="HM129" s="214"/>
      <c r="HN129" s="214"/>
      <c r="HO129" s="214"/>
      <c r="HP129" s="214"/>
      <c r="HQ129" s="214"/>
      <c r="HR129" s="214"/>
      <c r="HS129" s="214"/>
      <c r="HT129" s="214"/>
      <c r="HU129" s="214"/>
      <c r="HV129" s="214"/>
      <c r="HW129" s="214"/>
      <c r="HX129" s="214"/>
      <c r="HY129" s="214"/>
      <c r="HZ129" s="214"/>
      <c r="IA129" s="214"/>
      <c r="IB129" s="214"/>
      <c r="IC129" s="214"/>
      <c r="ID129" s="214"/>
      <c r="IE129" s="214"/>
      <c r="IF129" s="214"/>
      <c r="IG129" s="214"/>
      <c r="IH129" s="214"/>
      <c r="II129" s="214"/>
      <c r="IJ129" s="214"/>
      <c r="IK129" s="214"/>
      <c r="IL129" s="214"/>
      <c r="IM129" s="214"/>
      <c r="IN129" s="214"/>
      <c r="IO129" s="214"/>
      <c r="IP129" s="214"/>
      <c r="IQ129" s="214"/>
      <c r="IR129" s="214"/>
      <c r="IS129" s="214"/>
      <c r="IT129" s="214"/>
      <c r="IU129" s="214"/>
      <c r="IV129" s="214"/>
      <c r="IW129" s="214"/>
      <c r="IX129" s="214"/>
      <c r="IY129" s="214"/>
      <c r="IZ129" s="214"/>
      <c r="JA129" s="214"/>
      <c r="JB129" s="214"/>
      <c r="JC129" s="214"/>
      <c r="JD129" s="214"/>
      <c r="JE129" s="214"/>
      <c r="JF129" s="214"/>
      <c r="JG129" s="214"/>
      <c r="JH129" s="214"/>
      <c r="JI129" s="214"/>
    </row>
    <row r="130" spans="1:269">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c r="CG130" s="214"/>
      <c r="CH130" s="214"/>
      <c r="CI130" s="214"/>
      <c r="CJ130" s="214"/>
      <c r="CK130" s="214"/>
      <c r="CL130" s="214"/>
      <c r="CM130" s="214"/>
      <c r="CN130" s="214"/>
      <c r="CO130" s="214"/>
      <c r="CP130" s="214"/>
      <c r="CQ130" s="214"/>
      <c r="CR130" s="214"/>
      <c r="CS130" s="214"/>
      <c r="CT130" s="214"/>
      <c r="CU130" s="214"/>
      <c r="CV130" s="214"/>
      <c r="CW130" s="214"/>
      <c r="CX130" s="214"/>
      <c r="CY130" s="214"/>
      <c r="CZ130" s="214"/>
      <c r="DA130" s="214"/>
      <c r="DB130" s="214"/>
      <c r="DC130" s="214"/>
      <c r="DD130" s="214"/>
      <c r="DE130" s="214"/>
      <c r="DF130" s="214"/>
      <c r="DG130" s="214"/>
      <c r="DH130" s="214"/>
      <c r="DI130" s="214"/>
      <c r="DJ130" s="214"/>
      <c r="DK130" s="214"/>
      <c r="DL130" s="214"/>
      <c r="DM130" s="214"/>
      <c r="DN130" s="214"/>
      <c r="DO130" s="214"/>
      <c r="DP130" s="214"/>
      <c r="DQ130" s="214"/>
      <c r="DR130" s="214"/>
      <c r="DS130" s="214"/>
      <c r="DT130" s="214"/>
      <c r="DU130" s="214"/>
      <c r="DV130" s="214"/>
      <c r="DW130" s="214"/>
      <c r="DX130" s="214"/>
      <c r="DY130" s="214"/>
      <c r="DZ130" s="214"/>
      <c r="EA130" s="214"/>
      <c r="EB130" s="214"/>
      <c r="EC130" s="214"/>
      <c r="ED130" s="214"/>
      <c r="EE130" s="214"/>
      <c r="EF130" s="214"/>
      <c r="EG130" s="214"/>
      <c r="EH130" s="214"/>
      <c r="EI130" s="214"/>
      <c r="EJ130" s="214"/>
      <c r="EK130" s="214"/>
      <c r="EL130" s="214"/>
      <c r="EM130" s="214"/>
      <c r="EN130" s="214"/>
      <c r="EO130" s="214"/>
      <c r="EP130" s="214"/>
      <c r="EQ130" s="214"/>
      <c r="ER130" s="214"/>
      <c r="ES130" s="214"/>
      <c r="ET130" s="214"/>
      <c r="EU130" s="214"/>
      <c r="EV130" s="214"/>
      <c r="EW130" s="214"/>
      <c r="EX130" s="214"/>
      <c r="EY130" s="214"/>
      <c r="EZ130" s="214"/>
      <c r="FA130" s="214"/>
      <c r="FB130" s="214"/>
      <c r="FC130" s="214"/>
      <c r="FD130" s="214"/>
      <c r="FE130" s="214"/>
      <c r="FF130" s="214"/>
      <c r="FG130" s="214"/>
      <c r="FH130" s="214"/>
      <c r="FI130" s="214"/>
      <c r="FJ130" s="214"/>
      <c r="FK130" s="214"/>
      <c r="FL130" s="214"/>
      <c r="FM130" s="214"/>
      <c r="FN130" s="214"/>
      <c r="FO130" s="214"/>
      <c r="FP130" s="214"/>
      <c r="FQ130" s="214"/>
      <c r="FR130" s="214"/>
      <c r="FS130" s="214"/>
      <c r="FT130" s="214"/>
      <c r="FU130" s="214"/>
      <c r="FV130" s="214"/>
      <c r="FW130" s="214"/>
      <c r="FX130" s="214"/>
      <c r="FY130" s="214"/>
      <c r="FZ130" s="214"/>
      <c r="GA130" s="214"/>
      <c r="GB130" s="214"/>
      <c r="GC130" s="214"/>
      <c r="GD130" s="214"/>
      <c r="GE130" s="214"/>
      <c r="GF130" s="214"/>
      <c r="GG130" s="214"/>
      <c r="GH130" s="214"/>
      <c r="GI130" s="214"/>
      <c r="GJ130" s="214"/>
      <c r="GK130" s="214"/>
      <c r="GL130" s="214"/>
      <c r="GM130" s="214"/>
      <c r="GN130" s="214"/>
      <c r="GO130" s="214"/>
      <c r="GP130" s="214"/>
      <c r="GQ130" s="214"/>
      <c r="GR130" s="214"/>
      <c r="GS130" s="214"/>
      <c r="GT130" s="214"/>
      <c r="GU130" s="214"/>
      <c r="GV130" s="214"/>
      <c r="GW130" s="214"/>
      <c r="GX130" s="214"/>
      <c r="GY130" s="214"/>
      <c r="GZ130" s="214"/>
      <c r="HA130" s="214"/>
      <c r="HB130" s="214"/>
      <c r="HC130" s="214"/>
      <c r="HD130" s="214"/>
      <c r="HE130" s="214"/>
      <c r="HF130" s="214"/>
      <c r="HG130" s="214"/>
      <c r="HH130" s="214"/>
      <c r="HI130" s="214"/>
      <c r="HJ130" s="214"/>
      <c r="HK130" s="214"/>
      <c r="HL130" s="214"/>
      <c r="HM130" s="214"/>
      <c r="HN130" s="214"/>
      <c r="HO130" s="214"/>
      <c r="HP130" s="214"/>
      <c r="HQ130" s="214"/>
      <c r="HR130" s="214"/>
      <c r="HS130" s="214"/>
      <c r="HT130" s="214"/>
      <c r="HU130" s="214"/>
      <c r="HV130" s="214"/>
      <c r="HW130" s="214"/>
      <c r="HX130" s="214"/>
      <c r="HY130" s="214"/>
      <c r="HZ130" s="214"/>
      <c r="IA130" s="214"/>
      <c r="IB130" s="214"/>
      <c r="IC130" s="214"/>
      <c r="ID130" s="214"/>
      <c r="IE130" s="214"/>
      <c r="IF130" s="214"/>
      <c r="IG130" s="214"/>
      <c r="IH130" s="214"/>
      <c r="II130" s="214"/>
      <c r="IJ130" s="214"/>
      <c r="IK130" s="214"/>
      <c r="IL130" s="214"/>
      <c r="IM130" s="214"/>
      <c r="IN130" s="214"/>
      <c r="IO130" s="214"/>
      <c r="IP130" s="214"/>
      <c r="IQ130" s="214"/>
      <c r="IR130" s="214"/>
      <c r="IS130" s="214"/>
      <c r="IT130" s="214"/>
      <c r="IU130" s="214"/>
      <c r="IV130" s="214"/>
      <c r="IW130" s="214"/>
      <c r="IX130" s="214"/>
      <c r="IY130" s="214"/>
      <c r="IZ130" s="214"/>
      <c r="JA130" s="214"/>
      <c r="JB130" s="214"/>
      <c r="JC130" s="214"/>
      <c r="JD130" s="214"/>
      <c r="JE130" s="214"/>
      <c r="JF130" s="214"/>
      <c r="JG130" s="214"/>
      <c r="JH130" s="214"/>
      <c r="JI130" s="214"/>
    </row>
    <row r="131" spans="1:269">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c r="CG131" s="214"/>
      <c r="CH131" s="214"/>
      <c r="CI131" s="214"/>
      <c r="CJ131" s="214"/>
      <c r="CK131" s="214"/>
      <c r="CL131" s="214"/>
      <c r="CM131" s="214"/>
      <c r="CN131" s="214"/>
      <c r="CO131" s="214"/>
      <c r="CP131" s="214"/>
      <c r="CQ131" s="214"/>
      <c r="CR131" s="214"/>
      <c r="CS131" s="214"/>
      <c r="CT131" s="214"/>
      <c r="CU131" s="214"/>
      <c r="CV131" s="214"/>
      <c r="CW131" s="214"/>
      <c r="CX131" s="214"/>
      <c r="CY131" s="214"/>
      <c r="CZ131" s="214"/>
      <c r="DA131" s="214"/>
      <c r="DB131" s="214"/>
      <c r="DC131" s="214"/>
      <c r="DD131" s="214"/>
      <c r="DE131" s="214"/>
      <c r="DF131" s="214"/>
      <c r="DG131" s="214"/>
      <c r="DH131" s="214"/>
      <c r="DI131" s="214"/>
      <c r="DJ131" s="214"/>
      <c r="DK131" s="214"/>
      <c r="DL131" s="214"/>
      <c r="DM131" s="214"/>
      <c r="DN131" s="214"/>
      <c r="DO131" s="214"/>
      <c r="DP131" s="214"/>
      <c r="DQ131" s="214"/>
      <c r="DR131" s="214"/>
      <c r="DS131" s="214"/>
      <c r="DT131" s="214"/>
      <c r="DU131" s="214"/>
      <c r="DV131" s="214"/>
      <c r="DW131" s="214"/>
      <c r="DX131" s="214"/>
      <c r="DY131" s="214"/>
      <c r="DZ131" s="214"/>
      <c r="EA131" s="214"/>
      <c r="EB131" s="214"/>
      <c r="EC131" s="214"/>
      <c r="ED131" s="214"/>
      <c r="EE131" s="214"/>
      <c r="EF131" s="214"/>
      <c r="EG131" s="214"/>
      <c r="EH131" s="214"/>
      <c r="EI131" s="214"/>
      <c r="EJ131" s="214"/>
      <c r="EK131" s="214"/>
      <c r="EL131" s="214"/>
      <c r="EM131" s="214"/>
      <c r="EN131" s="214"/>
      <c r="EO131" s="214"/>
      <c r="EP131" s="214"/>
      <c r="EQ131" s="214"/>
      <c r="ER131" s="214"/>
      <c r="ES131" s="214"/>
      <c r="ET131" s="214"/>
      <c r="EU131" s="214"/>
      <c r="EV131" s="214"/>
      <c r="EW131" s="214"/>
      <c r="EX131" s="214"/>
      <c r="EY131" s="214"/>
      <c r="EZ131" s="214"/>
      <c r="FA131" s="214"/>
      <c r="FB131" s="214"/>
      <c r="FC131" s="214"/>
      <c r="FD131" s="214"/>
      <c r="FE131" s="214"/>
      <c r="FF131" s="214"/>
      <c r="FG131" s="214"/>
      <c r="FH131" s="214"/>
      <c r="FI131" s="214"/>
      <c r="FJ131" s="214"/>
      <c r="FK131" s="214"/>
      <c r="FL131" s="214"/>
      <c r="FM131" s="214"/>
      <c r="FN131" s="214"/>
      <c r="FO131" s="214"/>
      <c r="FP131" s="214"/>
      <c r="FQ131" s="214"/>
      <c r="FR131" s="214"/>
      <c r="FS131" s="214"/>
      <c r="FT131" s="214"/>
      <c r="FU131" s="214"/>
      <c r="FV131" s="214"/>
      <c r="FW131" s="214"/>
      <c r="FX131" s="214"/>
      <c r="FY131" s="214"/>
      <c r="FZ131" s="214"/>
      <c r="GA131" s="214"/>
      <c r="GB131" s="214"/>
      <c r="GC131" s="214"/>
      <c r="GD131" s="214"/>
      <c r="GE131" s="214"/>
      <c r="GF131" s="214"/>
      <c r="GG131" s="214"/>
      <c r="GH131" s="214"/>
      <c r="GI131" s="214"/>
      <c r="GJ131" s="214"/>
      <c r="GK131" s="214"/>
      <c r="GL131" s="214"/>
      <c r="GM131" s="214"/>
      <c r="GN131" s="214"/>
      <c r="GO131" s="214"/>
      <c r="GP131" s="214"/>
      <c r="GQ131" s="214"/>
      <c r="GR131" s="214"/>
      <c r="GS131" s="214"/>
      <c r="GT131" s="214"/>
      <c r="GU131" s="214"/>
      <c r="GV131" s="214"/>
      <c r="GW131" s="214"/>
      <c r="GX131" s="214"/>
      <c r="GY131" s="214"/>
      <c r="GZ131" s="214"/>
      <c r="HA131" s="214"/>
      <c r="HB131" s="214"/>
      <c r="HC131" s="214"/>
      <c r="HD131" s="214"/>
      <c r="HE131" s="214"/>
      <c r="HF131" s="214"/>
      <c r="HG131" s="214"/>
      <c r="HH131" s="214"/>
      <c r="HI131" s="214"/>
      <c r="HJ131" s="214"/>
      <c r="HK131" s="214"/>
      <c r="HL131" s="214"/>
      <c r="HM131" s="214"/>
      <c r="HN131" s="214"/>
      <c r="HO131" s="214"/>
      <c r="HP131" s="214"/>
      <c r="HQ131" s="214"/>
      <c r="HR131" s="214"/>
      <c r="HS131" s="214"/>
      <c r="HT131" s="214"/>
      <c r="HU131" s="214"/>
      <c r="HV131" s="214"/>
      <c r="HW131" s="214"/>
      <c r="HX131" s="214"/>
      <c r="HY131" s="214"/>
      <c r="HZ131" s="214"/>
      <c r="IA131" s="214"/>
      <c r="IB131" s="214"/>
      <c r="IC131" s="214"/>
      <c r="ID131" s="214"/>
      <c r="IE131" s="214"/>
      <c r="IF131" s="214"/>
      <c r="IG131" s="214"/>
      <c r="IH131" s="214"/>
      <c r="II131" s="214"/>
      <c r="IJ131" s="214"/>
      <c r="IK131" s="214"/>
      <c r="IL131" s="214"/>
      <c r="IM131" s="214"/>
      <c r="IN131" s="214"/>
      <c r="IO131" s="214"/>
      <c r="IP131" s="214"/>
      <c r="IQ131" s="214"/>
      <c r="IR131" s="214"/>
      <c r="IS131" s="214"/>
      <c r="IT131" s="214"/>
      <c r="IU131" s="214"/>
      <c r="IV131" s="214"/>
      <c r="IW131" s="214"/>
      <c r="IX131" s="214"/>
      <c r="IY131" s="214"/>
      <c r="IZ131" s="214"/>
      <c r="JA131" s="214"/>
      <c r="JB131" s="214"/>
      <c r="JC131" s="214"/>
      <c r="JD131" s="214"/>
      <c r="JE131" s="214"/>
      <c r="JF131" s="214"/>
      <c r="JG131" s="214"/>
      <c r="JH131" s="214"/>
      <c r="JI131" s="214"/>
    </row>
    <row r="132" spans="1:269">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c r="CG132" s="214"/>
      <c r="CH132" s="214"/>
      <c r="CI132" s="214"/>
      <c r="CJ132" s="214"/>
      <c r="CK132" s="214"/>
      <c r="CL132" s="214"/>
      <c r="CM132" s="214"/>
      <c r="CN132" s="214"/>
      <c r="CO132" s="214"/>
      <c r="CP132" s="214"/>
      <c r="CQ132" s="214"/>
      <c r="CR132" s="214"/>
      <c r="CS132" s="214"/>
      <c r="CT132" s="214"/>
      <c r="CU132" s="214"/>
      <c r="CV132" s="214"/>
      <c r="CW132" s="214"/>
      <c r="CX132" s="214"/>
      <c r="CY132" s="214"/>
      <c r="CZ132" s="214"/>
      <c r="DA132" s="214"/>
      <c r="DB132" s="214"/>
      <c r="DC132" s="214"/>
      <c r="DD132" s="214"/>
      <c r="DE132" s="214"/>
      <c r="DF132" s="214"/>
      <c r="DG132" s="214"/>
      <c r="DH132" s="214"/>
      <c r="DI132" s="214"/>
      <c r="DJ132" s="214"/>
      <c r="DK132" s="214"/>
      <c r="DL132" s="214"/>
      <c r="DM132" s="214"/>
      <c r="DN132" s="214"/>
      <c r="DO132" s="214"/>
      <c r="DP132" s="214"/>
      <c r="DQ132" s="214"/>
      <c r="DR132" s="214"/>
      <c r="DS132" s="214"/>
      <c r="DT132" s="214"/>
      <c r="DU132" s="214"/>
      <c r="DV132" s="214"/>
      <c r="DW132" s="214"/>
      <c r="DX132" s="214"/>
      <c r="DY132" s="214"/>
      <c r="DZ132" s="214"/>
      <c r="EA132" s="214"/>
      <c r="EB132" s="214"/>
      <c r="EC132" s="214"/>
      <c r="ED132" s="214"/>
      <c r="EE132" s="214"/>
      <c r="EF132" s="214"/>
      <c r="EG132" s="214"/>
      <c r="EH132" s="214"/>
      <c r="EI132" s="214"/>
      <c r="EJ132" s="214"/>
      <c r="EK132" s="214"/>
      <c r="EL132" s="214"/>
      <c r="EM132" s="214"/>
      <c r="EN132" s="214"/>
      <c r="EO132" s="214"/>
      <c r="EP132" s="214"/>
      <c r="EQ132" s="214"/>
      <c r="ER132" s="214"/>
      <c r="ES132" s="214"/>
      <c r="ET132" s="214"/>
      <c r="EU132" s="214"/>
      <c r="EV132" s="214"/>
      <c r="EW132" s="214"/>
      <c r="EX132" s="214"/>
      <c r="EY132" s="214"/>
      <c r="EZ132" s="214"/>
      <c r="FA132" s="214"/>
      <c r="FB132" s="214"/>
      <c r="FC132" s="214"/>
      <c r="FD132" s="214"/>
      <c r="FE132" s="214"/>
      <c r="FF132" s="214"/>
      <c r="FG132" s="214"/>
      <c r="FH132" s="214"/>
      <c r="FI132" s="214"/>
      <c r="FJ132" s="214"/>
      <c r="FK132" s="214"/>
      <c r="FL132" s="214"/>
      <c r="FM132" s="214"/>
      <c r="FN132" s="214"/>
      <c r="FO132" s="214"/>
      <c r="FP132" s="214"/>
      <c r="FQ132" s="214"/>
      <c r="FR132" s="214"/>
      <c r="FS132" s="214"/>
      <c r="FT132" s="214"/>
      <c r="FU132" s="214"/>
      <c r="FV132" s="214"/>
      <c r="FW132" s="214"/>
      <c r="FX132" s="214"/>
      <c r="FY132" s="214"/>
      <c r="FZ132" s="214"/>
      <c r="GA132" s="214"/>
      <c r="GB132" s="214"/>
      <c r="GC132" s="214"/>
      <c r="GD132" s="214"/>
      <c r="GE132" s="214"/>
      <c r="GF132" s="214"/>
      <c r="GG132" s="214"/>
      <c r="GH132" s="214"/>
      <c r="GI132" s="214"/>
      <c r="GJ132" s="214"/>
      <c r="GK132" s="214"/>
      <c r="GL132" s="214"/>
      <c r="GM132" s="214"/>
      <c r="GN132" s="214"/>
      <c r="GO132" s="214"/>
      <c r="GP132" s="214"/>
      <c r="GQ132" s="214"/>
      <c r="GR132" s="214"/>
      <c r="GS132" s="214"/>
      <c r="GT132" s="214"/>
      <c r="GU132" s="214"/>
      <c r="GV132" s="214"/>
      <c r="GW132" s="214"/>
      <c r="GX132" s="214"/>
      <c r="GY132" s="214"/>
      <c r="GZ132" s="214"/>
      <c r="HA132" s="214"/>
      <c r="HB132" s="214"/>
      <c r="HC132" s="214"/>
      <c r="HD132" s="214"/>
      <c r="HE132" s="214"/>
      <c r="HF132" s="214"/>
      <c r="HG132" s="214"/>
      <c r="HH132" s="214"/>
      <c r="HI132" s="214"/>
      <c r="HJ132" s="214"/>
      <c r="HK132" s="214"/>
      <c r="HL132" s="214"/>
      <c r="HM132" s="214"/>
      <c r="HN132" s="214"/>
      <c r="HO132" s="214"/>
      <c r="HP132" s="214"/>
      <c r="HQ132" s="214"/>
      <c r="HR132" s="214"/>
      <c r="HS132" s="214"/>
      <c r="HT132" s="214"/>
      <c r="HU132" s="214"/>
      <c r="HV132" s="214"/>
      <c r="HW132" s="214"/>
      <c r="HX132" s="214"/>
      <c r="HY132" s="214"/>
      <c r="HZ132" s="214"/>
      <c r="IA132" s="214"/>
      <c r="IB132" s="214"/>
      <c r="IC132" s="214"/>
      <c r="ID132" s="214"/>
      <c r="IE132" s="214"/>
      <c r="IF132" s="214"/>
      <c r="IG132" s="214"/>
      <c r="IH132" s="214"/>
      <c r="II132" s="214"/>
      <c r="IJ132" s="214"/>
      <c r="IK132" s="214"/>
      <c r="IL132" s="214"/>
      <c r="IM132" s="214"/>
      <c r="IN132" s="214"/>
      <c r="IO132" s="214"/>
      <c r="IP132" s="214"/>
      <c r="IQ132" s="214"/>
      <c r="IR132" s="214"/>
      <c r="IS132" s="214"/>
      <c r="IT132" s="214"/>
      <c r="IU132" s="214"/>
      <c r="IV132" s="214"/>
      <c r="IW132" s="214"/>
      <c r="IX132" s="214"/>
      <c r="IY132" s="214"/>
      <c r="IZ132" s="214"/>
      <c r="JA132" s="214"/>
      <c r="JB132" s="214"/>
      <c r="JC132" s="214"/>
      <c r="JD132" s="214"/>
      <c r="JE132" s="214"/>
      <c r="JF132" s="214"/>
      <c r="JG132" s="214"/>
      <c r="JH132" s="214"/>
      <c r="JI132" s="214"/>
    </row>
    <row r="133" spans="1:269">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c r="CG133" s="214"/>
      <c r="CH133" s="214"/>
      <c r="CI133" s="214"/>
      <c r="CJ133" s="214"/>
      <c r="CK133" s="214"/>
      <c r="CL133" s="214"/>
      <c r="CM133" s="214"/>
      <c r="CN133" s="214"/>
      <c r="CO133" s="214"/>
      <c r="CP133" s="214"/>
      <c r="CQ133" s="214"/>
      <c r="CR133" s="214"/>
      <c r="CS133" s="214"/>
      <c r="CT133" s="214"/>
      <c r="CU133" s="214"/>
      <c r="CV133" s="214"/>
      <c r="CW133" s="214"/>
      <c r="CX133" s="214"/>
      <c r="CY133" s="214"/>
      <c r="CZ133" s="214"/>
      <c r="DA133" s="214"/>
      <c r="DB133" s="214"/>
      <c r="DC133" s="214"/>
      <c r="DD133" s="214"/>
      <c r="DE133" s="214"/>
      <c r="DF133" s="214"/>
      <c r="DG133" s="214"/>
      <c r="DH133" s="214"/>
      <c r="DI133" s="214"/>
      <c r="DJ133" s="214"/>
      <c r="DK133" s="214"/>
      <c r="DL133" s="214"/>
      <c r="DM133" s="214"/>
      <c r="DN133" s="214"/>
      <c r="DO133" s="214"/>
      <c r="DP133" s="214"/>
      <c r="DQ133" s="214"/>
      <c r="DR133" s="214"/>
      <c r="DS133" s="214"/>
      <c r="DT133" s="214"/>
      <c r="DU133" s="214"/>
      <c r="DV133" s="214"/>
      <c r="DW133" s="214"/>
      <c r="DX133" s="214"/>
      <c r="DY133" s="214"/>
      <c r="DZ133" s="214"/>
      <c r="EA133" s="214"/>
      <c r="EB133" s="214"/>
      <c r="EC133" s="214"/>
      <c r="ED133" s="214"/>
      <c r="EE133" s="214"/>
      <c r="EF133" s="214"/>
      <c r="EG133" s="214"/>
      <c r="EH133" s="214"/>
      <c r="EI133" s="214"/>
      <c r="EJ133" s="214"/>
      <c r="EK133" s="214"/>
      <c r="EL133" s="214"/>
      <c r="EM133" s="214"/>
      <c r="EN133" s="214"/>
      <c r="EO133" s="214"/>
      <c r="EP133" s="214"/>
      <c r="EQ133" s="214"/>
      <c r="ER133" s="214"/>
      <c r="ES133" s="214"/>
      <c r="ET133" s="214"/>
      <c r="EU133" s="214"/>
      <c r="EV133" s="214"/>
      <c r="EW133" s="214"/>
      <c r="EX133" s="214"/>
      <c r="EY133" s="214"/>
      <c r="EZ133" s="214"/>
      <c r="FA133" s="214"/>
      <c r="FB133" s="214"/>
      <c r="FC133" s="214"/>
      <c r="FD133" s="214"/>
      <c r="FE133" s="214"/>
      <c r="FF133" s="214"/>
      <c r="FG133" s="214"/>
      <c r="FH133" s="214"/>
      <c r="FI133" s="214"/>
      <c r="FJ133" s="214"/>
      <c r="FK133" s="214"/>
      <c r="FL133" s="214"/>
      <c r="FM133" s="214"/>
      <c r="FN133" s="214"/>
      <c r="FO133" s="214"/>
      <c r="FP133" s="214"/>
      <c r="FQ133" s="214"/>
      <c r="FR133" s="214"/>
      <c r="FS133" s="214"/>
      <c r="FT133" s="214"/>
      <c r="FU133" s="214"/>
      <c r="FV133" s="214"/>
      <c r="FW133" s="214"/>
      <c r="FX133" s="214"/>
      <c r="FY133" s="214"/>
      <c r="FZ133" s="214"/>
      <c r="GA133" s="214"/>
      <c r="GB133" s="214"/>
      <c r="GC133" s="214"/>
      <c r="GD133" s="214"/>
      <c r="GE133" s="214"/>
      <c r="GF133" s="214"/>
      <c r="GG133" s="214"/>
      <c r="GH133" s="214"/>
      <c r="GI133" s="214"/>
      <c r="GJ133" s="214"/>
      <c r="GK133" s="214"/>
      <c r="GL133" s="214"/>
      <c r="GM133" s="214"/>
      <c r="GN133" s="214"/>
      <c r="GO133" s="214"/>
      <c r="GP133" s="214"/>
      <c r="GQ133" s="214"/>
      <c r="GR133" s="214"/>
      <c r="GS133" s="214"/>
      <c r="GT133" s="214"/>
      <c r="GU133" s="214"/>
      <c r="GV133" s="214"/>
      <c r="GW133" s="214"/>
      <c r="GX133" s="214"/>
      <c r="GY133" s="214"/>
      <c r="GZ133" s="214"/>
      <c r="HA133" s="214"/>
      <c r="HB133" s="214"/>
      <c r="HC133" s="214"/>
      <c r="HD133" s="214"/>
      <c r="HE133" s="214"/>
      <c r="HF133" s="214"/>
      <c r="HG133" s="214"/>
      <c r="HH133" s="214"/>
      <c r="HI133" s="214"/>
      <c r="HJ133" s="214"/>
      <c r="HK133" s="214"/>
      <c r="HL133" s="214"/>
      <c r="HM133" s="214"/>
      <c r="HN133" s="214"/>
      <c r="HO133" s="214"/>
      <c r="HP133" s="214"/>
      <c r="HQ133" s="214"/>
      <c r="HR133" s="214"/>
      <c r="HS133" s="214"/>
      <c r="HT133" s="214"/>
      <c r="HU133" s="214"/>
      <c r="HV133" s="214"/>
      <c r="HW133" s="214"/>
      <c r="HX133" s="214"/>
      <c r="HY133" s="214"/>
      <c r="HZ133" s="214"/>
      <c r="IA133" s="214"/>
      <c r="IB133" s="214"/>
      <c r="IC133" s="214"/>
      <c r="ID133" s="214"/>
      <c r="IE133" s="214"/>
      <c r="IF133" s="214"/>
      <c r="IG133" s="214"/>
      <c r="IH133" s="214"/>
      <c r="II133" s="214"/>
      <c r="IJ133" s="214"/>
      <c r="IK133" s="214"/>
      <c r="IL133" s="214"/>
      <c r="IM133" s="214"/>
      <c r="IN133" s="214"/>
      <c r="IO133" s="214"/>
      <c r="IP133" s="214"/>
      <c r="IQ133" s="214"/>
      <c r="IR133" s="214"/>
      <c r="IS133" s="214"/>
      <c r="IT133" s="214"/>
      <c r="IU133" s="214"/>
      <c r="IV133" s="214"/>
      <c r="IW133" s="214"/>
      <c r="IX133" s="214"/>
      <c r="IY133" s="214"/>
      <c r="IZ133" s="214"/>
      <c r="JA133" s="214"/>
      <c r="JB133" s="214"/>
      <c r="JC133" s="214"/>
      <c r="JD133" s="214"/>
      <c r="JE133" s="214"/>
      <c r="JF133" s="214"/>
      <c r="JG133" s="214"/>
      <c r="JH133" s="214"/>
      <c r="JI133" s="214"/>
    </row>
    <row r="134" spans="1:269">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c r="CG134" s="214"/>
      <c r="CH134" s="214"/>
      <c r="CI134" s="214"/>
      <c r="CJ134" s="214"/>
      <c r="CK134" s="214"/>
      <c r="CL134" s="214"/>
      <c r="CM134" s="214"/>
      <c r="CN134" s="214"/>
      <c r="CO134" s="214"/>
      <c r="CP134" s="214"/>
      <c r="CQ134" s="214"/>
      <c r="CR134" s="214"/>
      <c r="CS134" s="214"/>
      <c r="CT134" s="214"/>
      <c r="CU134" s="214"/>
      <c r="CV134" s="214"/>
      <c r="CW134" s="214"/>
      <c r="CX134" s="214"/>
      <c r="CY134" s="214"/>
      <c r="CZ134" s="214"/>
      <c r="DA134" s="214"/>
      <c r="DB134" s="214"/>
      <c r="DC134" s="214"/>
      <c r="DD134" s="214"/>
      <c r="DE134" s="214"/>
      <c r="DF134" s="214"/>
      <c r="DG134" s="214"/>
      <c r="DH134" s="214"/>
      <c r="DI134" s="214"/>
      <c r="DJ134" s="214"/>
      <c r="DK134" s="214"/>
      <c r="DL134" s="214"/>
      <c r="DM134" s="214"/>
      <c r="DN134" s="214"/>
      <c r="DO134" s="214"/>
      <c r="DP134" s="214"/>
      <c r="DQ134" s="214"/>
      <c r="DR134" s="214"/>
      <c r="DS134" s="214"/>
      <c r="DT134" s="214"/>
      <c r="DU134" s="214"/>
      <c r="DV134" s="214"/>
      <c r="DW134" s="214"/>
      <c r="DX134" s="214"/>
      <c r="DY134" s="214"/>
      <c r="DZ134" s="214"/>
      <c r="EA134" s="214"/>
      <c r="EB134" s="214"/>
      <c r="EC134" s="214"/>
      <c r="ED134" s="214"/>
      <c r="EE134" s="214"/>
      <c r="EF134" s="214"/>
      <c r="EG134" s="214"/>
      <c r="EH134" s="214"/>
      <c r="EI134" s="214"/>
      <c r="EJ134" s="214"/>
      <c r="EK134" s="214"/>
      <c r="EL134" s="214"/>
      <c r="EM134" s="214"/>
      <c r="EN134" s="214"/>
      <c r="EO134" s="214"/>
      <c r="EP134" s="214"/>
      <c r="EQ134" s="214"/>
      <c r="ER134" s="214"/>
      <c r="ES134" s="214"/>
      <c r="ET134" s="214"/>
      <c r="EU134" s="214"/>
      <c r="EV134" s="214"/>
      <c r="EW134" s="214"/>
      <c r="EX134" s="214"/>
      <c r="EY134" s="214"/>
      <c r="EZ134" s="214"/>
      <c r="FA134" s="214"/>
      <c r="FB134" s="214"/>
      <c r="FC134" s="214"/>
      <c r="FD134" s="214"/>
      <c r="FE134" s="214"/>
      <c r="FF134" s="214"/>
      <c r="FG134" s="214"/>
      <c r="FH134" s="214"/>
      <c r="FI134" s="214"/>
      <c r="FJ134" s="214"/>
      <c r="FK134" s="214"/>
      <c r="FL134" s="214"/>
      <c r="FM134" s="214"/>
      <c r="FN134" s="214"/>
      <c r="FO134" s="214"/>
      <c r="FP134" s="214"/>
      <c r="FQ134" s="214"/>
      <c r="FR134" s="214"/>
      <c r="FS134" s="214"/>
      <c r="FT134" s="214"/>
      <c r="FU134" s="214"/>
      <c r="FV134" s="214"/>
      <c r="FW134" s="214"/>
      <c r="FX134" s="214"/>
      <c r="FY134" s="214"/>
      <c r="FZ134" s="214"/>
      <c r="GA134" s="214"/>
      <c r="GB134" s="214"/>
      <c r="GC134" s="214"/>
      <c r="GD134" s="214"/>
      <c r="GE134" s="214"/>
      <c r="GF134" s="214"/>
      <c r="GG134" s="214"/>
      <c r="GH134" s="214"/>
      <c r="GI134" s="214"/>
      <c r="GJ134" s="214"/>
      <c r="GK134" s="214"/>
      <c r="GL134" s="214"/>
      <c r="GM134" s="214"/>
      <c r="GN134" s="214"/>
      <c r="GO134" s="214"/>
      <c r="GP134" s="214"/>
      <c r="GQ134" s="214"/>
      <c r="GR134" s="214"/>
      <c r="GS134" s="214"/>
      <c r="GT134" s="214"/>
      <c r="GU134" s="214"/>
      <c r="GV134" s="214"/>
      <c r="GW134" s="214"/>
      <c r="GX134" s="214"/>
      <c r="GY134" s="214"/>
      <c r="GZ134" s="214"/>
      <c r="HA134" s="214"/>
      <c r="HB134" s="214"/>
      <c r="HC134" s="214"/>
      <c r="HD134" s="214"/>
      <c r="HE134" s="214"/>
      <c r="HF134" s="214"/>
      <c r="HG134" s="214"/>
      <c r="HH134" s="214"/>
      <c r="HI134" s="214"/>
      <c r="HJ134" s="214"/>
      <c r="HK134" s="214"/>
      <c r="HL134" s="214"/>
      <c r="HM134" s="214"/>
      <c r="HN134" s="214"/>
      <c r="HO134" s="214"/>
      <c r="HP134" s="214"/>
      <c r="HQ134" s="214"/>
      <c r="HR134" s="214"/>
      <c r="HS134" s="214"/>
      <c r="HT134" s="214"/>
      <c r="HU134" s="214"/>
      <c r="HV134" s="214"/>
      <c r="HW134" s="214"/>
      <c r="HX134" s="214"/>
      <c r="HY134" s="214"/>
      <c r="HZ134" s="214"/>
      <c r="IA134" s="214"/>
      <c r="IB134" s="214"/>
      <c r="IC134" s="214"/>
      <c r="ID134" s="214"/>
      <c r="IE134" s="214"/>
      <c r="IF134" s="214"/>
      <c r="IG134" s="214"/>
      <c r="IH134" s="214"/>
      <c r="II134" s="214"/>
      <c r="IJ134" s="214"/>
      <c r="IK134" s="214"/>
      <c r="IL134" s="214"/>
      <c r="IM134" s="214"/>
      <c r="IN134" s="214"/>
      <c r="IO134" s="214"/>
      <c r="IP134" s="214"/>
      <c r="IQ134" s="214"/>
      <c r="IR134" s="214"/>
      <c r="IS134" s="214"/>
      <c r="IT134" s="214"/>
      <c r="IU134" s="214"/>
      <c r="IV134" s="214"/>
      <c r="IW134" s="214"/>
      <c r="IX134" s="214"/>
      <c r="IY134" s="214"/>
      <c r="IZ134" s="214"/>
      <c r="JA134" s="214"/>
      <c r="JB134" s="214"/>
      <c r="JC134" s="214"/>
      <c r="JD134" s="214"/>
      <c r="JE134" s="214"/>
      <c r="JF134" s="214"/>
      <c r="JG134" s="214"/>
      <c r="JH134" s="214"/>
      <c r="JI134" s="214"/>
    </row>
    <row r="135" spans="1:269">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c r="CG135" s="214"/>
      <c r="CH135" s="214"/>
      <c r="CI135" s="214"/>
      <c r="CJ135" s="214"/>
      <c r="CK135" s="214"/>
      <c r="CL135" s="214"/>
      <c r="CM135" s="214"/>
      <c r="CN135" s="214"/>
      <c r="CO135" s="214"/>
      <c r="CP135" s="214"/>
      <c r="CQ135" s="214"/>
      <c r="CR135" s="214"/>
      <c r="CS135" s="214"/>
      <c r="CT135" s="214"/>
      <c r="CU135" s="214"/>
      <c r="CV135" s="214"/>
      <c r="CW135" s="214"/>
      <c r="CX135" s="214"/>
      <c r="CY135" s="214"/>
      <c r="CZ135" s="214"/>
      <c r="DA135" s="214"/>
      <c r="DB135" s="214"/>
      <c r="DC135" s="214"/>
      <c r="DD135" s="214"/>
      <c r="DE135" s="214"/>
      <c r="DF135" s="214"/>
      <c r="DG135" s="214"/>
      <c r="DH135" s="214"/>
      <c r="DI135" s="214"/>
      <c r="DJ135" s="214"/>
      <c r="DK135" s="214"/>
      <c r="DL135" s="214"/>
      <c r="DM135" s="214"/>
      <c r="DN135" s="214"/>
      <c r="DO135" s="214"/>
      <c r="DP135" s="214"/>
      <c r="DQ135" s="214"/>
      <c r="DR135" s="214"/>
      <c r="DS135" s="214"/>
      <c r="DT135" s="214"/>
      <c r="DU135" s="214"/>
      <c r="DV135" s="214"/>
      <c r="DW135" s="214"/>
      <c r="DX135" s="214"/>
      <c r="DY135" s="214"/>
      <c r="DZ135" s="214"/>
      <c r="EA135" s="214"/>
      <c r="EB135" s="214"/>
      <c r="EC135" s="214"/>
      <c r="ED135" s="214"/>
      <c r="EE135" s="214"/>
      <c r="EF135" s="214"/>
      <c r="EG135" s="214"/>
      <c r="EH135" s="214"/>
      <c r="EI135" s="214"/>
      <c r="EJ135" s="214"/>
      <c r="EK135" s="214"/>
      <c r="EL135" s="214"/>
      <c r="EM135" s="214"/>
      <c r="EN135" s="214"/>
      <c r="EO135" s="214"/>
      <c r="EP135" s="214"/>
      <c r="EQ135" s="214"/>
      <c r="ER135" s="214"/>
      <c r="ES135" s="214"/>
      <c r="ET135" s="214"/>
      <c r="EU135" s="214"/>
      <c r="EV135" s="214"/>
      <c r="EW135" s="214"/>
      <c r="EX135" s="214"/>
      <c r="EY135" s="214"/>
      <c r="EZ135" s="214"/>
      <c r="FA135" s="214"/>
      <c r="FB135" s="214"/>
      <c r="FC135" s="214"/>
      <c r="FD135" s="214"/>
      <c r="FE135" s="214"/>
      <c r="FF135" s="214"/>
      <c r="FG135" s="214"/>
      <c r="FH135" s="214"/>
      <c r="FI135" s="214"/>
      <c r="FJ135" s="214"/>
      <c r="FK135" s="214"/>
      <c r="FL135" s="214"/>
      <c r="FM135" s="214"/>
      <c r="FN135" s="214"/>
      <c r="FO135" s="214"/>
      <c r="FP135" s="214"/>
      <c r="FQ135" s="214"/>
      <c r="FR135" s="214"/>
      <c r="FS135" s="214"/>
      <c r="FT135" s="214"/>
      <c r="FU135" s="214"/>
      <c r="FV135" s="214"/>
      <c r="FW135" s="214"/>
      <c r="FX135" s="214"/>
      <c r="FY135" s="214"/>
      <c r="FZ135" s="214"/>
      <c r="GA135" s="214"/>
      <c r="GB135" s="214"/>
      <c r="GC135" s="214"/>
      <c r="GD135" s="214"/>
      <c r="GE135" s="214"/>
      <c r="GF135" s="214"/>
      <c r="GG135" s="214"/>
      <c r="GH135" s="214"/>
      <c r="GI135" s="214"/>
      <c r="GJ135" s="214"/>
      <c r="GK135" s="214"/>
      <c r="GL135" s="214"/>
      <c r="GM135" s="214"/>
      <c r="GN135" s="214"/>
      <c r="GO135" s="214"/>
      <c r="GP135" s="214"/>
      <c r="GQ135" s="214"/>
      <c r="GR135" s="214"/>
      <c r="GS135" s="214"/>
      <c r="GT135" s="214"/>
      <c r="GU135" s="214"/>
      <c r="GV135" s="214"/>
      <c r="GW135" s="214"/>
      <c r="GX135" s="214"/>
      <c r="GY135" s="214"/>
      <c r="GZ135" s="214"/>
      <c r="HA135" s="214"/>
      <c r="HB135" s="214"/>
      <c r="HC135" s="214"/>
      <c r="HD135" s="214"/>
      <c r="HE135" s="214"/>
      <c r="HF135" s="214"/>
      <c r="HG135" s="214"/>
      <c r="HH135" s="214"/>
      <c r="HI135" s="214"/>
      <c r="HJ135" s="214"/>
      <c r="HK135" s="214"/>
      <c r="HL135" s="214"/>
      <c r="HM135" s="214"/>
      <c r="HN135" s="214"/>
      <c r="HO135" s="214"/>
      <c r="HP135" s="214"/>
      <c r="HQ135" s="214"/>
      <c r="HR135" s="214"/>
      <c r="HS135" s="214"/>
      <c r="HT135" s="214"/>
      <c r="HU135" s="214"/>
      <c r="HV135" s="214"/>
      <c r="HW135" s="214"/>
      <c r="HX135" s="214"/>
      <c r="HY135" s="214"/>
      <c r="HZ135" s="214"/>
      <c r="IA135" s="214"/>
      <c r="IB135" s="214"/>
      <c r="IC135" s="214"/>
      <c r="ID135" s="214"/>
      <c r="IE135" s="214"/>
      <c r="IF135" s="214"/>
      <c r="IG135" s="214"/>
      <c r="IH135" s="214"/>
      <c r="II135" s="214"/>
      <c r="IJ135" s="214"/>
      <c r="IK135" s="214"/>
      <c r="IL135" s="214"/>
      <c r="IM135" s="214"/>
      <c r="IN135" s="214"/>
      <c r="IO135" s="214"/>
      <c r="IP135" s="214"/>
      <c r="IQ135" s="214"/>
      <c r="IR135" s="214"/>
      <c r="IS135" s="214"/>
      <c r="IT135" s="214"/>
      <c r="IU135" s="214"/>
      <c r="IV135" s="214"/>
      <c r="IW135" s="214"/>
      <c r="IX135" s="214"/>
      <c r="IY135" s="214"/>
      <c r="IZ135" s="214"/>
      <c r="JA135" s="214"/>
      <c r="JB135" s="214"/>
      <c r="JC135" s="214"/>
      <c r="JD135" s="214"/>
      <c r="JE135" s="214"/>
      <c r="JF135" s="214"/>
      <c r="JG135" s="214"/>
      <c r="JH135" s="214"/>
      <c r="JI135" s="214"/>
    </row>
    <row r="136" spans="1:269">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c r="CG136" s="214"/>
      <c r="CH136" s="214"/>
      <c r="CI136" s="214"/>
      <c r="CJ136" s="214"/>
      <c r="CK136" s="214"/>
      <c r="CL136" s="214"/>
      <c r="CM136" s="214"/>
      <c r="CN136" s="214"/>
      <c r="CO136" s="214"/>
      <c r="CP136" s="214"/>
      <c r="CQ136" s="214"/>
      <c r="CR136" s="214"/>
      <c r="CS136" s="214"/>
      <c r="CT136" s="214"/>
      <c r="CU136" s="214"/>
      <c r="CV136" s="214"/>
      <c r="CW136" s="214"/>
      <c r="CX136" s="214"/>
      <c r="CY136" s="214"/>
      <c r="CZ136" s="214"/>
      <c r="DA136" s="214"/>
      <c r="DB136" s="214"/>
      <c r="DC136" s="214"/>
      <c r="DD136" s="214"/>
      <c r="DE136" s="214"/>
      <c r="DF136" s="214"/>
      <c r="DG136" s="214"/>
      <c r="DH136" s="214"/>
      <c r="DI136" s="214"/>
      <c r="DJ136" s="214"/>
      <c r="DK136" s="214"/>
      <c r="DL136" s="214"/>
      <c r="DM136" s="214"/>
      <c r="DN136" s="214"/>
      <c r="DO136" s="214"/>
      <c r="DP136" s="214"/>
      <c r="DQ136" s="214"/>
      <c r="DR136" s="214"/>
      <c r="DS136" s="214"/>
      <c r="DT136" s="214"/>
      <c r="DU136" s="214"/>
      <c r="DV136" s="214"/>
      <c r="DW136" s="214"/>
      <c r="DX136" s="214"/>
      <c r="DY136" s="214"/>
      <c r="DZ136" s="214"/>
      <c r="EA136" s="214"/>
      <c r="EB136" s="214"/>
      <c r="EC136" s="214"/>
      <c r="ED136" s="214"/>
      <c r="EE136" s="214"/>
      <c r="EF136" s="214"/>
      <c r="EG136" s="214"/>
      <c r="EH136" s="214"/>
      <c r="EI136" s="214"/>
      <c r="EJ136" s="214"/>
      <c r="EK136" s="214"/>
      <c r="EL136" s="214"/>
      <c r="EM136" s="214"/>
      <c r="EN136" s="214"/>
      <c r="EO136" s="214"/>
      <c r="EP136" s="214"/>
      <c r="EQ136" s="214"/>
      <c r="ER136" s="214"/>
      <c r="ES136" s="214"/>
      <c r="ET136" s="214"/>
      <c r="EU136" s="214"/>
      <c r="EV136" s="214"/>
      <c r="EW136" s="214"/>
      <c r="EX136" s="214"/>
      <c r="EY136" s="214"/>
      <c r="EZ136" s="214"/>
      <c r="FA136" s="214"/>
      <c r="FB136" s="214"/>
      <c r="FC136" s="214"/>
      <c r="FD136" s="214"/>
      <c r="FE136" s="214"/>
      <c r="FF136" s="214"/>
      <c r="FG136" s="214"/>
      <c r="FH136" s="214"/>
      <c r="FI136" s="214"/>
      <c r="FJ136" s="214"/>
      <c r="FK136" s="214"/>
      <c r="FL136" s="214"/>
      <c r="FM136" s="214"/>
      <c r="FN136" s="214"/>
      <c r="FO136" s="214"/>
      <c r="FP136" s="214"/>
      <c r="FQ136" s="214"/>
      <c r="FR136" s="214"/>
      <c r="FS136" s="214"/>
      <c r="FT136" s="214"/>
      <c r="FU136" s="214"/>
      <c r="FV136" s="214"/>
      <c r="FW136" s="214"/>
      <c r="FX136" s="214"/>
      <c r="FY136" s="214"/>
      <c r="FZ136" s="214"/>
      <c r="GA136" s="214"/>
      <c r="GB136" s="214"/>
      <c r="GC136" s="214"/>
      <c r="GD136" s="214"/>
      <c r="GE136" s="214"/>
      <c r="GF136" s="214"/>
      <c r="GG136" s="214"/>
      <c r="GH136" s="214"/>
      <c r="GI136" s="214"/>
      <c r="GJ136" s="214"/>
      <c r="GK136" s="214"/>
      <c r="GL136" s="214"/>
      <c r="GM136" s="214"/>
      <c r="GN136" s="214"/>
      <c r="GO136" s="214"/>
      <c r="GP136" s="214"/>
      <c r="GQ136" s="214"/>
      <c r="GR136" s="214"/>
      <c r="GS136" s="214"/>
      <c r="GT136" s="214"/>
      <c r="GU136" s="214"/>
      <c r="GV136" s="214"/>
      <c r="GW136" s="214"/>
      <c r="GX136" s="214"/>
      <c r="GY136" s="214"/>
      <c r="GZ136" s="214"/>
      <c r="HA136" s="214"/>
      <c r="HB136" s="214"/>
      <c r="HC136" s="214"/>
      <c r="HD136" s="214"/>
      <c r="HE136" s="214"/>
      <c r="HF136" s="214"/>
      <c r="HG136" s="214"/>
      <c r="HH136" s="214"/>
      <c r="HI136" s="214"/>
      <c r="HJ136" s="214"/>
      <c r="HK136" s="214"/>
      <c r="HL136" s="214"/>
      <c r="HM136" s="214"/>
      <c r="HN136" s="214"/>
      <c r="HO136" s="214"/>
      <c r="HP136" s="214"/>
      <c r="HQ136" s="214"/>
      <c r="HR136" s="214"/>
      <c r="HS136" s="214"/>
      <c r="HT136" s="214"/>
      <c r="HU136" s="214"/>
      <c r="HV136" s="214"/>
      <c r="HW136" s="214"/>
      <c r="HX136" s="214"/>
      <c r="HY136" s="214"/>
      <c r="HZ136" s="214"/>
      <c r="IA136" s="214"/>
      <c r="IB136" s="214"/>
      <c r="IC136" s="214"/>
      <c r="ID136" s="214"/>
      <c r="IE136" s="214"/>
      <c r="IF136" s="214"/>
      <c r="IG136" s="214"/>
      <c r="IH136" s="214"/>
      <c r="II136" s="214"/>
      <c r="IJ136" s="214"/>
      <c r="IK136" s="214"/>
      <c r="IL136" s="214"/>
      <c r="IM136" s="214"/>
      <c r="IN136" s="214"/>
      <c r="IO136" s="214"/>
      <c r="IP136" s="214"/>
      <c r="IQ136" s="214"/>
      <c r="IR136" s="214"/>
      <c r="IS136" s="214"/>
      <c r="IT136" s="214"/>
      <c r="IU136" s="214"/>
      <c r="IV136" s="214"/>
      <c r="IW136" s="214"/>
      <c r="IX136" s="214"/>
      <c r="IY136" s="214"/>
      <c r="IZ136" s="214"/>
      <c r="JA136" s="214"/>
      <c r="JB136" s="214"/>
      <c r="JC136" s="214"/>
      <c r="JD136" s="214"/>
      <c r="JE136" s="214"/>
      <c r="JF136" s="214"/>
      <c r="JG136" s="214"/>
      <c r="JH136" s="214"/>
      <c r="JI136" s="214"/>
    </row>
    <row r="137" spans="1:269">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c r="CG137" s="214"/>
      <c r="CH137" s="214"/>
      <c r="CI137" s="214"/>
      <c r="CJ137" s="214"/>
      <c r="CK137" s="214"/>
      <c r="CL137" s="214"/>
      <c r="CM137" s="214"/>
      <c r="CN137" s="214"/>
      <c r="CO137" s="214"/>
      <c r="CP137" s="214"/>
      <c r="CQ137" s="214"/>
      <c r="CR137" s="214"/>
      <c r="CS137" s="214"/>
      <c r="CT137" s="214"/>
      <c r="CU137" s="214"/>
      <c r="CV137" s="214"/>
      <c r="CW137" s="214"/>
      <c r="CX137" s="214"/>
      <c r="CY137" s="214"/>
      <c r="CZ137" s="214"/>
      <c r="DA137" s="214"/>
      <c r="DB137" s="214"/>
      <c r="DC137" s="214"/>
      <c r="DD137" s="214"/>
      <c r="DE137" s="214"/>
      <c r="DF137" s="214"/>
      <c r="DG137" s="214"/>
      <c r="DH137" s="214"/>
      <c r="DI137" s="214"/>
      <c r="DJ137" s="214"/>
      <c r="DK137" s="214"/>
      <c r="DL137" s="214"/>
      <c r="DM137" s="214"/>
      <c r="DN137" s="214"/>
      <c r="DO137" s="214"/>
      <c r="DP137" s="214"/>
      <c r="DQ137" s="214"/>
      <c r="DR137" s="214"/>
      <c r="DS137" s="214"/>
      <c r="DT137" s="214"/>
      <c r="DU137" s="214"/>
      <c r="DV137" s="214"/>
      <c r="DW137" s="214"/>
      <c r="DX137" s="214"/>
      <c r="DY137" s="214"/>
      <c r="DZ137" s="214"/>
      <c r="EA137" s="214"/>
      <c r="EB137" s="214"/>
      <c r="EC137" s="214"/>
      <c r="ED137" s="214"/>
      <c r="EE137" s="214"/>
      <c r="EF137" s="214"/>
      <c r="EG137" s="214"/>
      <c r="EH137" s="214"/>
      <c r="EI137" s="214"/>
      <c r="EJ137" s="214"/>
      <c r="EK137" s="214"/>
      <c r="EL137" s="214"/>
      <c r="EM137" s="214"/>
      <c r="EN137" s="214"/>
      <c r="EO137" s="214"/>
      <c r="EP137" s="214"/>
      <c r="EQ137" s="214"/>
      <c r="ER137" s="214"/>
      <c r="ES137" s="214"/>
      <c r="ET137" s="214"/>
      <c r="EU137" s="214"/>
      <c r="EV137" s="214"/>
      <c r="EW137" s="214"/>
      <c r="EX137" s="214"/>
      <c r="EY137" s="214"/>
      <c r="EZ137" s="214"/>
      <c r="FA137" s="214"/>
      <c r="FB137" s="214"/>
      <c r="FC137" s="214"/>
      <c r="FD137" s="214"/>
      <c r="FE137" s="214"/>
      <c r="FF137" s="214"/>
      <c r="FG137" s="214"/>
      <c r="FH137" s="214"/>
      <c r="FI137" s="214"/>
      <c r="FJ137" s="214"/>
      <c r="FK137" s="214"/>
      <c r="FL137" s="214"/>
      <c r="FM137" s="214"/>
      <c r="FN137" s="214"/>
      <c r="FO137" s="214"/>
      <c r="FP137" s="214"/>
      <c r="FQ137" s="214"/>
      <c r="FR137" s="214"/>
      <c r="FS137" s="214"/>
      <c r="FT137" s="214"/>
      <c r="FU137" s="214"/>
      <c r="FV137" s="214"/>
      <c r="FW137" s="214"/>
      <c r="FX137" s="214"/>
      <c r="FY137" s="214"/>
      <c r="FZ137" s="214"/>
      <c r="GA137" s="214"/>
      <c r="GB137" s="214"/>
      <c r="GC137" s="214"/>
      <c r="GD137" s="214"/>
      <c r="GE137" s="214"/>
      <c r="GF137" s="214"/>
      <c r="GG137" s="214"/>
      <c r="GH137" s="214"/>
      <c r="GI137" s="214"/>
      <c r="GJ137" s="214"/>
      <c r="GK137" s="214"/>
      <c r="GL137" s="214"/>
      <c r="GM137" s="214"/>
      <c r="GN137" s="214"/>
      <c r="GO137" s="214"/>
      <c r="GP137" s="214"/>
      <c r="GQ137" s="214"/>
      <c r="GR137" s="214"/>
      <c r="GS137" s="214"/>
      <c r="GT137" s="214"/>
      <c r="GU137" s="214"/>
      <c r="GV137" s="214"/>
      <c r="GW137" s="214"/>
      <c r="GX137" s="214"/>
      <c r="GY137" s="214"/>
      <c r="GZ137" s="214"/>
      <c r="HA137" s="214"/>
      <c r="HB137" s="214"/>
      <c r="HC137" s="214"/>
      <c r="HD137" s="214"/>
      <c r="HE137" s="214"/>
      <c r="HF137" s="214"/>
      <c r="HG137" s="214"/>
      <c r="HH137" s="214"/>
      <c r="HI137" s="214"/>
      <c r="HJ137" s="214"/>
      <c r="HK137" s="214"/>
      <c r="HL137" s="214"/>
      <c r="HM137" s="214"/>
      <c r="HN137" s="214"/>
      <c r="HO137" s="214"/>
      <c r="HP137" s="214"/>
      <c r="HQ137" s="214"/>
      <c r="HR137" s="214"/>
      <c r="HS137" s="214"/>
      <c r="HT137" s="214"/>
      <c r="HU137" s="214"/>
      <c r="HV137" s="214"/>
      <c r="HW137" s="214"/>
      <c r="HX137" s="214"/>
      <c r="HY137" s="214"/>
      <c r="HZ137" s="214"/>
      <c r="IA137" s="214"/>
      <c r="IB137" s="214"/>
      <c r="IC137" s="214"/>
      <c r="ID137" s="214"/>
      <c r="IE137" s="214"/>
      <c r="IF137" s="214"/>
      <c r="IG137" s="214"/>
      <c r="IH137" s="214"/>
      <c r="II137" s="214"/>
      <c r="IJ137" s="214"/>
      <c r="IK137" s="214"/>
      <c r="IL137" s="214"/>
      <c r="IM137" s="214"/>
      <c r="IN137" s="214"/>
      <c r="IO137" s="214"/>
      <c r="IP137" s="214"/>
      <c r="IQ137" s="214"/>
      <c r="IR137" s="214"/>
      <c r="IS137" s="214"/>
      <c r="IT137" s="214"/>
      <c r="IU137" s="214"/>
      <c r="IV137" s="214"/>
      <c r="IW137" s="214"/>
      <c r="IX137" s="214"/>
      <c r="IY137" s="214"/>
      <c r="IZ137" s="214"/>
      <c r="JA137" s="214"/>
      <c r="JB137" s="214"/>
      <c r="JC137" s="214"/>
      <c r="JD137" s="214"/>
      <c r="JE137" s="214"/>
      <c r="JF137" s="214"/>
      <c r="JG137" s="214"/>
      <c r="JH137" s="214"/>
      <c r="JI137" s="214"/>
    </row>
    <row r="138" spans="1:269">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c r="CG138" s="214"/>
      <c r="CH138" s="214"/>
      <c r="CI138" s="214"/>
      <c r="CJ138" s="214"/>
      <c r="CK138" s="214"/>
      <c r="CL138" s="214"/>
      <c r="CM138" s="214"/>
      <c r="CN138" s="214"/>
      <c r="CO138" s="214"/>
      <c r="CP138" s="214"/>
      <c r="CQ138" s="214"/>
      <c r="CR138" s="214"/>
      <c r="CS138" s="214"/>
      <c r="CT138" s="214"/>
      <c r="CU138" s="214"/>
      <c r="CV138" s="214"/>
      <c r="CW138" s="214"/>
      <c r="CX138" s="214"/>
      <c r="CY138" s="214"/>
      <c r="CZ138" s="214"/>
      <c r="DA138" s="214"/>
      <c r="DB138" s="214"/>
      <c r="DC138" s="214"/>
      <c r="DD138" s="214"/>
      <c r="DE138" s="214"/>
      <c r="DF138" s="214"/>
      <c r="DG138" s="214"/>
      <c r="DH138" s="214"/>
      <c r="DI138" s="214"/>
      <c r="DJ138" s="214"/>
      <c r="DK138" s="214"/>
      <c r="DL138" s="214"/>
      <c r="DM138" s="214"/>
      <c r="DN138" s="214"/>
      <c r="DO138" s="214"/>
      <c r="DP138" s="214"/>
      <c r="DQ138" s="214"/>
      <c r="DR138" s="214"/>
      <c r="DS138" s="214"/>
      <c r="DT138" s="214"/>
      <c r="DU138" s="214"/>
      <c r="DV138" s="214"/>
      <c r="DW138" s="214"/>
      <c r="DX138" s="214"/>
      <c r="DY138" s="214"/>
      <c r="DZ138" s="214"/>
      <c r="EA138" s="214"/>
      <c r="EB138" s="214"/>
      <c r="EC138" s="214"/>
      <c r="ED138" s="214"/>
      <c r="EE138" s="214"/>
      <c r="EF138" s="214"/>
      <c r="EG138" s="214"/>
      <c r="EH138" s="214"/>
      <c r="EI138" s="214"/>
      <c r="EJ138" s="214"/>
      <c r="EK138" s="214"/>
      <c r="EL138" s="214"/>
      <c r="EM138" s="214"/>
      <c r="EN138" s="214"/>
      <c r="EO138" s="214"/>
      <c r="EP138" s="214"/>
      <c r="EQ138" s="214"/>
      <c r="ER138" s="214"/>
      <c r="ES138" s="214"/>
      <c r="ET138" s="214"/>
      <c r="EU138" s="214"/>
      <c r="EV138" s="214"/>
      <c r="EW138" s="214"/>
      <c r="EX138" s="214"/>
      <c r="EY138" s="214"/>
      <c r="EZ138" s="214"/>
      <c r="FA138" s="214"/>
      <c r="FB138" s="214"/>
      <c r="FC138" s="214"/>
      <c r="FD138" s="214"/>
      <c r="FE138" s="214"/>
      <c r="FF138" s="214"/>
      <c r="FG138" s="214"/>
      <c r="FH138" s="214"/>
      <c r="FI138" s="214"/>
      <c r="FJ138" s="214"/>
      <c r="FK138" s="214"/>
      <c r="FL138" s="214"/>
      <c r="FM138" s="214"/>
      <c r="FN138" s="214"/>
      <c r="FO138" s="214"/>
      <c r="FP138" s="214"/>
      <c r="FQ138" s="214"/>
      <c r="FR138" s="214"/>
      <c r="FS138" s="214"/>
      <c r="FT138" s="214"/>
      <c r="FU138" s="214"/>
      <c r="FV138" s="214"/>
      <c r="FW138" s="214"/>
      <c r="FX138" s="214"/>
      <c r="FY138" s="214"/>
      <c r="FZ138" s="214"/>
      <c r="GA138" s="214"/>
      <c r="GB138" s="214"/>
      <c r="GC138" s="214"/>
      <c r="GD138" s="214"/>
      <c r="GE138" s="214"/>
      <c r="GF138" s="214"/>
      <c r="GG138" s="214"/>
      <c r="GH138" s="214"/>
      <c r="GI138" s="214"/>
      <c r="GJ138" s="214"/>
      <c r="GK138" s="214"/>
      <c r="GL138" s="214"/>
      <c r="GM138" s="214"/>
      <c r="GN138" s="214"/>
      <c r="GO138" s="214"/>
      <c r="GP138" s="214"/>
      <c r="GQ138" s="214"/>
      <c r="GR138" s="214"/>
      <c r="GS138" s="214"/>
      <c r="GT138" s="214"/>
      <c r="GU138" s="214"/>
      <c r="GV138" s="214"/>
      <c r="GW138" s="214"/>
      <c r="GX138" s="214"/>
      <c r="GY138" s="214"/>
      <c r="GZ138" s="214"/>
      <c r="HA138" s="214"/>
      <c r="HB138" s="214"/>
      <c r="HC138" s="214"/>
      <c r="HD138" s="214"/>
      <c r="HE138" s="214"/>
      <c r="HF138" s="214"/>
      <c r="HG138" s="214"/>
      <c r="HH138" s="214"/>
      <c r="HI138" s="214"/>
      <c r="HJ138" s="214"/>
      <c r="HK138" s="214"/>
      <c r="HL138" s="214"/>
      <c r="HM138" s="214"/>
      <c r="HN138" s="214"/>
      <c r="HO138" s="214"/>
      <c r="HP138" s="214"/>
      <c r="HQ138" s="214"/>
      <c r="HR138" s="214"/>
      <c r="HS138" s="214"/>
      <c r="HT138" s="214"/>
      <c r="HU138" s="214"/>
      <c r="HV138" s="214"/>
      <c r="HW138" s="214"/>
      <c r="HX138" s="214"/>
      <c r="HY138" s="214"/>
      <c r="HZ138" s="214"/>
      <c r="IA138" s="214"/>
      <c r="IB138" s="214"/>
      <c r="IC138" s="214"/>
      <c r="ID138" s="214"/>
      <c r="IE138" s="214"/>
      <c r="IF138" s="214"/>
      <c r="IG138" s="214"/>
      <c r="IH138" s="214"/>
      <c r="II138" s="214"/>
      <c r="IJ138" s="214"/>
      <c r="IK138" s="214"/>
      <c r="IL138" s="214"/>
      <c r="IM138" s="214"/>
      <c r="IN138" s="214"/>
      <c r="IO138" s="214"/>
      <c r="IP138" s="214"/>
      <c r="IQ138" s="214"/>
      <c r="IR138" s="214"/>
      <c r="IS138" s="214"/>
      <c r="IT138" s="214"/>
      <c r="IU138" s="214"/>
      <c r="IV138" s="214"/>
      <c r="IW138" s="214"/>
      <c r="IX138" s="214"/>
      <c r="IY138" s="214"/>
      <c r="IZ138" s="214"/>
      <c r="JA138" s="214"/>
      <c r="JB138" s="214"/>
      <c r="JC138" s="214"/>
      <c r="JD138" s="214"/>
      <c r="JE138" s="214"/>
      <c r="JF138" s="214"/>
      <c r="JG138" s="214"/>
      <c r="JH138" s="214"/>
      <c r="JI138" s="214"/>
    </row>
    <row r="139" spans="1:269">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c r="CG139" s="214"/>
      <c r="CH139" s="214"/>
      <c r="CI139" s="214"/>
      <c r="CJ139" s="214"/>
      <c r="CK139" s="214"/>
      <c r="CL139" s="214"/>
      <c r="CM139" s="214"/>
      <c r="CN139" s="214"/>
      <c r="CO139" s="214"/>
      <c r="CP139" s="214"/>
      <c r="CQ139" s="214"/>
      <c r="CR139" s="214"/>
      <c r="CS139" s="214"/>
      <c r="CT139" s="214"/>
      <c r="CU139" s="214"/>
      <c r="CV139" s="214"/>
      <c r="CW139" s="214"/>
      <c r="CX139" s="214"/>
      <c r="CY139" s="214"/>
      <c r="CZ139" s="214"/>
      <c r="DA139" s="214"/>
      <c r="DB139" s="214"/>
      <c r="DC139" s="214"/>
      <c r="DD139" s="214"/>
      <c r="DE139" s="214"/>
      <c r="DF139" s="214"/>
      <c r="DG139" s="214"/>
      <c r="DH139" s="214"/>
      <c r="DI139" s="214"/>
      <c r="DJ139" s="214"/>
      <c r="DK139" s="214"/>
      <c r="DL139" s="214"/>
      <c r="DM139" s="214"/>
      <c r="DN139" s="214"/>
      <c r="DO139" s="214"/>
      <c r="DP139" s="214"/>
      <c r="DQ139" s="214"/>
      <c r="DR139" s="214"/>
      <c r="DS139" s="214"/>
      <c r="DT139" s="214"/>
      <c r="DU139" s="214"/>
      <c r="DV139" s="214"/>
      <c r="DW139" s="214"/>
      <c r="DX139" s="214"/>
      <c r="DY139" s="214"/>
      <c r="DZ139" s="214"/>
      <c r="EA139" s="214"/>
      <c r="EB139" s="214"/>
      <c r="EC139" s="214"/>
      <c r="ED139" s="214"/>
      <c r="EE139" s="214"/>
      <c r="EF139" s="214"/>
      <c r="EG139" s="214"/>
      <c r="EH139" s="214"/>
      <c r="EI139" s="214"/>
      <c r="EJ139" s="214"/>
      <c r="EK139" s="214"/>
      <c r="EL139" s="214"/>
      <c r="EM139" s="214"/>
      <c r="EN139" s="214"/>
      <c r="EO139" s="214"/>
      <c r="EP139" s="214"/>
      <c r="EQ139" s="214"/>
      <c r="ER139" s="214"/>
      <c r="ES139" s="214"/>
      <c r="ET139" s="214"/>
      <c r="EU139" s="214"/>
      <c r="EV139" s="214"/>
      <c r="EW139" s="214"/>
      <c r="EX139" s="214"/>
      <c r="EY139" s="214"/>
      <c r="EZ139" s="214"/>
      <c r="FA139" s="214"/>
      <c r="FB139" s="214"/>
      <c r="FC139" s="214"/>
      <c r="FD139" s="214"/>
      <c r="FE139" s="214"/>
      <c r="FF139" s="214"/>
      <c r="FG139" s="214"/>
      <c r="FH139" s="214"/>
      <c r="FI139" s="214"/>
      <c r="FJ139" s="214"/>
      <c r="FK139" s="214"/>
      <c r="FL139" s="214"/>
      <c r="FM139" s="214"/>
      <c r="FN139" s="214"/>
      <c r="FO139" s="214"/>
      <c r="FP139" s="214"/>
      <c r="FQ139" s="214"/>
      <c r="FR139" s="214"/>
      <c r="FS139" s="214"/>
      <c r="FT139" s="214"/>
      <c r="FU139" s="214"/>
      <c r="FV139" s="214"/>
      <c r="FW139" s="214"/>
      <c r="FX139" s="214"/>
      <c r="FY139" s="214"/>
      <c r="FZ139" s="214"/>
      <c r="GA139" s="214"/>
      <c r="GB139" s="214"/>
      <c r="GC139" s="214"/>
      <c r="GD139" s="214"/>
      <c r="GE139" s="214"/>
      <c r="GF139" s="214"/>
      <c r="GG139" s="214"/>
      <c r="GH139" s="214"/>
      <c r="GI139" s="214"/>
      <c r="GJ139" s="214"/>
      <c r="GK139" s="214"/>
      <c r="GL139" s="214"/>
      <c r="GM139" s="214"/>
      <c r="GN139" s="214"/>
      <c r="GO139" s="214"/>
      <c r="GP139" s="214"/>
      <c r="GQ139" s="214"/>
      <c r="GR139" s="214"/>
      <c r="GS139" s="214"/>
      <c r="GT139" s="214"/>
      <c r="GU139" s="214"/>
      <c r="GV139" s="214"/>
      <c r="GW139" s="214"/>
      <c r="GX139" s="214"/>
      <c r="GY139" s="214"/>
      <c r="GZ139" s="214"/>
      <c r="HA139" s="214"/>
      <c r="HB139" s="214"/>
      <c r="HC139" s="214"/>
      <c r="HD139" s="214"/>
      <c r="HE139" s="214"/>
      <c r="HF139" s="214"/>
      <c r="HG139" s="214"/>
      <c r="HH139" s="214"/>
      <c r="HI139" s="214"/>
      <c r="HJ139" s="214"/>
      <c r="HK139" s="214"/>
      <c r="HL139" s="214"/>
      <c r="HM139" s="214"/>
      <c r="HN139" s="214"/>
      <c r="HO139" s="214"/>
      <c r="HP139" s="214"/>
      <c r="HQ139" s="214"/>
      <c r="HR139" s="214"/>
      <c r="HS139" s="214"/>
      <c r="HT139" s="214"/>
      <c r="HU139" s="214"/>
      <c r="HV139" s="214"/>
      <c r="HW139" s="214"/>
      <c r="HX139" s="214"/>
      <c r="HY139" s="214"/>
      <c r="HZ139" s="214"/>
      <c r="IA139" s="214"/>
      <c r="IB139" s="214"/>
      <c r="IC139" s="214"/>
      <c r="ID139" s="214"/>
      <c r="IE139" s="214"/>
      <c r="IF139" s="214"/>
      <c r="IG139" s="214"/>
      <c r="IH139" s="214"/>
      <c r="II139" s="214"/>
      <c r="IJ139" s="214"/>
      <c r="IK139" s="214"/>
      <c r="IL139" s="214"/>
      <c r="IM139" s="214"/>
      <c r="IN139" s="214"/>
      <c r="IO139" s="214"/>
      <c r="IP139" s="214"/>
      <c r="IQ139" s="214"/>
      <c r="IR139" s="214"/>
      <c r="IS139" s="214"/>
      <c r="IT139" s="214"/>
      <c r="IU139" s="214"/>
      <c r="IV139" s="214"/>
      <c r="IW139" s="214"/>
      <c r="IX139" s="214"/>
      <c r="IY139" s="214"/>
      <c r="IZ139" s="214"/>
      <c r="JA139" s="214"/>
      <c r="JB139" s="214"/>
      <c r="JC139" s="214"/>
      <c r="JD139" s="214"/>
      <c r="JE139" s="214"/>
      <c r="JF139" s="214"/>
      <c r="JG139" s="214"/>
      <c r="JH139" s="214"/>
      <c r="JI139" s="214"/>
    </row>
    <row r="140" spans="1:269">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c r="CG140" s="214"/>
      <c r="CH140" s="214"/>
      <c r="CI140" s="214"/>
      <c r="CJ140" s="214"/>
      <c r="CK140" s="214"/>
      <c r="CL140" s="214"/>
      <c r="CM140" s="214"/>
      <c r="CN140" s="214"/>
      <c r="CO140" s="214"/>
      <c r="CP140" s="214"/>
      <c r="CQ140" s="214"/>
      <c r="CR140" s="214"/>
      <c r="CS140" s="214"/>
      <c r="CT140" s="214"/>
      <c r="CU140" s="214"/>
      <c r="CV140" s="214"/>
      <c r="CW140" s="214"/>
      <c r="CX140" s="214"/>
      <c r="CY140" s="214"/>
      <c r="CZ140" s="214"/>
      <c r="DA140" s="214"/>
      <c r="DB140" s="214"/>
      <c r="DC140" s="214"/>
      <c r="DD140" s="214"/>
      <c r="DE140" s="214"/>
      <c r="DF140" s="214"/>
      <c r="DG140" s="214"/>
      <c r="DH140" s="214"/>
      <c r="DI140" s="214"/>
      <c r="DJ140" s="214"/>
      <c r="DK140" s="214"/>
      <c r="DL140" s="214"/>
      <c r="DM140" s="214"/>
      <c r="DN140" s="214"/>
      <c r="DO140" s="214"/>
      <c r="DP140" s="214"/>
      <c r="DQ140" s="214"/>
      <c r="DR140" s="214"/>
      <c r="DS140" s="214"/>
      <c r="DT140" s="214"/>
      <c r="DU140" s="214"/>
      <c r="DV140" s="214"/>
      <c r="DW140" s="214"/>
      <c r="DX140" s="214"/>
      <c r="DY140" s="214"/>
      <c r="DZ140" s="214"/>
      <c r="EA140" s="214"/>
      <c r="EB140" s="214"/>
      <c r="EC140" s="214"/>
      <c r="ED140" s="214"/>
      <c r="EE140" s="214"/>
      <c r="EF140" s="214"/>
      <c r="EG140" s="214"/>
      <c r="EH140" s="214"/>
      <c r="EI140" s="214"/>
      <c r="EJ140" s="214"/>
      <c r="EK140" s="214"/>
      <c r="EL140" s="214"/>
      <c r="EM140" s="214"/>
      <c r="EN140" s="214"/>
      <c r="EO140" s="214"/>
      <c r="EP140" s="214"/>
      <c r="EQ140" s="214"/>
      <c r="ER140" s="214"/>
      <c r="ES140" s="214"/>
      <c r="ET140" s="214"/>
      <c r="EU140" s="214"/>
      <c r="EV140" s="214"/>
      <c r="EW140" s="214"/>
      <c r="EX140" s="214"/>
      <c r="EY140" s="214"/>
      <c r="EZ140" s="214"/>
      <c r="FA140" s="214"/>
      <c r="FB140" s="214"/>
      <c r="FC140" s="214"/>
      <c r="FD140" s="214"/>
      <c r="FE140" s="214"/>
      <c r="FF140" s="214"/>
      <c r="FG140" s="214"/>
      <c r="FH140" s="214"/>
      <c r="FI140" s="214"/>
      <c r="FJ140" s="214"/>
      <c r="FK140" s="214"/>
      <c r="FL140" s="214"/>
      <c r="FM140" s="214"/>
      <c r="FN140" s="214"/>
      <c r="FO140" s="214"/>
      <c r="FP140" s="214"/>
      <c r="FQ140" s="214"/>
      <c r="FR140" s="214"/>
      <c r="FS140" s="214"/>
      <c r="FT140" s="214"/>
      <c r="FU140" s="214"/>
      <c r="FV140" s="214"/>
      <c r="FW140" s="214"/>
      <c r="FX140" s="214"/>
      <c r="FY140" s="214"/>
      <c r="FZ140" s="214"/>
      <c r="GA140" s="214"/>
      <c r="GB140" s="214"/>
      <c r="GC140" s="214"/>
      <c r="GD140" s="214"/>
      <c r="GE140" s="214"/>
      <c r="GF140" s="214"/>
      <c r="GG140" s="214"/>
      <c r="GH140" s="214"/>
      <c r="GI140" s="214"/>
      <c r="GJ140" s="214"/>
      <c r="GK140" s="214"/>
      <c r="GL140" s="214"/>
      <c r="GM140" s="214"/>
      <c r="GN140" s="214"/>
      <c r="GO140" s="214"/>
      <c r="GP140" s="214"/>
      <c r="GQ140" s="214"/>
      <c r="GR140" s="214"/>
      <c r="GS140" s="214"/>
      <c r="GT140" s="214"/>
      <c r="GU140" s="214"/>
      <c r="GV140" s="214"/>
      <c r="GW140" s="214"/>
      <c r="GX140" s="214"/>
      <c r="GY140" s="214"/>
      <c r="GZ140" s="214"/>
      <c r="HA140" s="214"/>
      <c r="HB140" s="214"/>
      <c r="HC140" s="214"/>
      <c r="HD140" s="214"/>
      <c r="HE140" s="214"/>
      <c r="HF140" s="214"/>
      <c r="HG140" s="214"/>
      <c r="HH140" s="214"/>
      <c r="HI140" s="214"/>
      <c r="HJ140" s="214"/>
      <c r="HK140" s="214"/>
      <c r="HL140" s="214"/>
      <c r="HM140" s="214"/>
      <c r="HN140" s="214"/>
      <c r="HO140" s="214"/>
      <c r="HP140" s="214"/>
      <c r="HQ140" s="214"/>
      <c r="HR140" s="214"/>
      <c r="HS140" s="214"/>
      <c r="HT140" s="214"/>
      <c r="HU140" s="214"/>
      <c r="HV140" s="214"/>
      <c r="HW140" s="214"/>
      <c r="HX140" s="214"/>
      <c r="HY140" s="214"/>
      <c r="HZ140" s="214"/>
      <c r="IA140" s="214"/>
      <c r="IB140" s="214"/>
      <c r="IC140" s="214"/>
      <c r="ID140" s="214"/>
      <c r="IE140" s="214"/>
      <c r="IF140" s="214"/>
      <c r="IG140" s="214"/>
      <c r="IH140" s="214"/>
      <c r="II140" s="214"/>
      <c r="IJ140" s="214"/>
      <c r="IK140" s="214"/>
      <c r="IL140" s="214"/>
      <c r="IM140" s="214"/>
      <c r="IN140" s="214"/>
      <c r="IO140" s="214"/>
      <c r="IP140" s="214"/>
      <c r="IQ140" s="214"/>
      <c r="IR140" s="214"/>
      <c r="IS140" s="214"/>
      <c r="IT140" s="214"/>
      <c r="IU140" s="214"/>
      <c r="IV140" s="214"/>
      <c r="IW140" s="214"/>
      <c r="IX140" s="214"/>
      <c r="IY140" s="214"/>
      <c r="IZ140" s="214"/>
      <c r="JA140" s="214"/>
      <c r="JB140" s="214"/>
      <c r="JC140" s="214"/>
      <c r="JD140" s="214"/>
      <c r="JE140" s="214"/>
      <c r="JF140" s="214"/>
      <c r="JG140" s="214"/>
      <c r="JH140" s="214"/>
      <c r="JI140" s="214"/>
    </row>
    <row r="141" spans="1:269">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c r="CG141" s="214"/>
      <c r="CH141" s="214"/>
      <c r="CI141" s="214"/>
      <c r="CJ141" s="214"/>
      <c r="CK141" s="214"/>
      <c r="CL141" s="214"/>
      <c r="CM141" s="214"/>
      <c r="CN141" s="214"/>
      <c r="CO141" s="214"/>
      <c r="CP141" s="214"/>
      <c r="CQ141" s="214"/>
      <c r="CR141" s="214"/>
      <c r="CS141" s="214"/>
      <c r="CT141" s="214"/>
      <c r="CU141" s="214"/>
      <c r="CV141" s="214"/>
      <c r="CW141" s="214"/>
      <c r="CX141" s="214"/>
      <c r="CY141" s="214"/>
      <c r="CZ141" s="214"/>
      <c r="DA141" s="214"/>
      <c r="DB141" s="214"/>
      <c r="DC141" s="214"/>
      <c r="DD141" s="214"/>
      <c r="DE141" s="214"/>
      <c r="DF141" s="214"/>
      <c r="DG141" s="214"/>
      <c r="DH141" s="214"/>
      <c r="DI141" s="214"/>
      <c r="DJ141" s="214"/>
      <c r="DK141" s="214"/>
      <c r="DL141" s="214"/>
      <c r="DM141" s="214"/>
      <c r="DN141" s="214"/>
      <c r="DO141" s="214"/>
      <c r="DP141" s="214"/>
      <c r="DQ141" s="214"/>
      <c r="DR141" s="214"/>
      <c r="DS141" s="214"/>
      <c r="DT141" s="214"/>
      <c r="DU141" s="214"/>
      <c r="DV141" s="214"/>
      <c r="DW141" s="214"/>
      <c r="DX141" s="214"/>
      <c r="DY141" s="214"/>
      <c r="DZ141" s="214"/>
      <c r="EA141" s="214"/>
      <c r="EB141" s="214"/>
      <c r="EC141" s="214"/>
      <c r="ED141" s="214"/>
      <c r="EE141" s="214"/>
      <c r="EF141" s="214"/>
      <c r="EG141" s="214"/>
      <c r="EH141" s="214"/>
      <c r="EI141" s="214"/>
      <c r="EJ141" s="214"/>
      <c r="EK141" s="214"/>
      <c r="EL141" s="214"/>
      <c r="EM141" s="214"/>
      <c r="EN141" s="214"/>
      <c r="EO141" s="214"/>
      <c r="EP141" s="214"/>
      <c r="EQ141" s="214"/>
      <c r="ER141" s="214"/>
      <c r="ES141" s="214"/>
      <c r="ET141" s="214"/>
      <c r="EU141" s="214"/>
      <c r="EV141" s="214"/>
      <c r="EW141" s="214"/>
      <c r="EX141" s="214"/>
      <c r="EY141" s="214"/>
      <c r="EZ141" s="214"/>
      <c r="FA141" s="214"/>
      <c r="FB141" s="214"/>
      <c r="FC141" s="214"/>
      <c r="FD141" s="214"/>
      <c r="FE141" s="214"/>
      <c r="FF141" s="214"/>
      <c r="FG141" s="214"/>
      <c r="FH141" s="214"/>
      <c r="FI141" s="214"/>
      <c r="FJ141" s="214"/>
      <c r="FK141" s="214"/>
      <c r="FL141" s="214"/>
      <c r="FM141" s="214"/>
      <c r="FN141" s="214"/>
      <c r="FO141" s="214"/>
      <c r="FP141" s="214"/>
      <c r="FQ141" s="214"/>
      <c r="FR141" s="214"/>
      <c r="FS141" s="214"/>
      <c r="FT141" s="214"/>
      <c r="FU141" s="214"/>
      <c r="FV141" s="214"/>
      <c r="FW141" s="214"/>
      <c r="FX141" s="214"/>
      <c r="FY141" s="214"/>
      <c r="FZ141" s="214"/>
      <c r="GA141" s="214"/>
      <c r="GB141" s="214"/>
      <c r="GC141" s="214"/>
      <c r="GD141" s="214"/>
      <c r="GE141" s="214"/>
      <c r="GF141" s="214"/>
      <c r="GG141" s="214"/>
      <c r="GH141" s="214"/>
      <c r="GI141" s="214"/>
      <c r="GJ141" s="214"/>
      <c r="GK141" s="214"/>
      <c r="GL141" s="214"/>
      <c r="GM141" s="214"/>
      <c r="GN141" s="214"/>
      <c r="GO141" s="214"/>
      <c r="GP141" s="214"/>
      <c r="GQ141" s="214"/>
      <c r="GR141" s="214"/>
      <c r="GS141" s="214"/>
      <c r="GT141" s="214"/>
      <c r="GU141" s="214"/>
      <c r="GV141" s="214"/>
      <c r="GW141" s="214"/>
      <c r="GX141" s="214"/>
      <c r="GY141" s="214"/>
      <c r="GZ141" s="214"/>
      <c r="HA141" s="214"/>
      <c r="HB141" s="214"/>
      <c r="HC141" s="214"/>
      <c r="HD141" s="214"/>
      <c r="HE141" s="214"/>
      <c r="HF141" s="214"/>
      <c r="HG141" s="214"/>
      <c r="HH141" s="214"/>
      <c r="HI141" s="214"/>
      <c r="HJ141" s="214"/>
      <c r="HK141" s="214"/>
      <c r="HL141" s="214"/>
      <c r="HM141" s="214"/>
      <c r="HN141" s="214"/>
      <c r="HO141" s="214"/>
      <c r="HP141" s="214"/>
      <c r="HQ141" s="214"/>
      <c r="HR141" s="214"/>
      <c r="HS141" s="214"/>
      <c r="HT141" s="214"/>
      <c r="HU141" s="214"/>
      <c r="HV141" s="214"/>
      <c r="HW141" s="214"/>
      <c r="HX141" s="214"/>
      <c r="HY141" s="214"/>
      <c r="HZ141" s="214"/>
      <c r="IA141" s="214"/>
      <c r="IB141" s="214"/>
      <c r="IC141" s="214"/>
      <c r="ID141" s="214"/>
      <c r="IE141" s="214"/>
      <c r="IF141" s="214"/>
      <c r="IG141" s="214"/>
      <c r="IH141" s="214"/>
      <c r="II141" s="214"/>
      <c r="IJ141" s="214"/>
      <c r="IK141" s="214"/>
      <c r="IL141" s="214"/>
      <c r="IM141" s="214"/>
      <c r="IN141" s="214"/>
      <c r="IO141" s="214"/>
      <c r="IP141" s="214"/>
      <c r="IQ141" s="214"/>
      <c r="IR141" s="214"/>
      <c r="IS141" s="214"/>
      <c r="IT141" s="214"/>
      <c r="IU141" s="214"/>
      <c r="IV141" s="214"/>
      <c r="IW141" s="214"/>
      <c r="IX141" s="214"/>
      <c r="IY141" s="214"/>
      <c r="IZ141" s="214"/>
      <c r="JA141" s="214"/>
      <c r="JB141" s="214"/>
      <c r="JC141" s="214"/>
      <c r="JD141" s="214"/>
      <c r="JE141" s="214"/>
      <c r="JF141" s="214"/>
      <c r="JG141" s="214"/>
      <c r="JH141" s="214"/>
      <c r="JI141" s="214"/>
    </row>
    <row r="142" spans="1:269">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c r="CG142" s="214"/>
      <c r="CH142" s="214"/>
      <c r="CI142" s="214"/>
      <c r="CJ142" s="214"/>
      <c r="CK142" s="214"/>
      <c r="CL142" s="214"/>
      <c r="CM142" s="214"/>
      <c r="CN142" s="214"/>
      <c r="CO142" s="214"/>
      <c r="CP142" s="214"/>
      <c r="CQ142" s="214"/>
      <c r="CR142" s="214"/>
      <c r="CS142" s="214"/>
      <c r="CT142" s="214"/>
      <c r="CU142" s="214"/>
      <c r="CV142" s="214"/>
      <c r="CW142" s="214"/>
      <c r="CX142" s="214"/>
      <c r="CY142" s="214"/>
      <c r="CZ142" s="214"/>
      <c r="DA142" s="214"/>
      <c r="DB142" s="214"/>
      <c r="DC142" s="214"/>
      <c r="DD142" s="214"/>
      <c r="DE142" s="214"/>
      <c r="DF142" s="214"/>
      <c r="DG142" s="214"/>
      <c r="DH142" s="214"/>
      <c r="DI142" s="214"/>
      <c r="DJ142" s="214"/>
      <c r="DK142" s="214"/>
      <c r="DL142" s="214"/>
      <c r="DM142" s="214"/>
      <c r="DN142" s="214"/>
      <c r="DO142" s="214"/>
      <c r="DP142" s="214"/>
      <c r="DQ142" s="214"/>
      <c r="DR142" s="214"/>
      <c r="DS142" s="214"/>
      <c r="DT142" s="214"/>
      <c r="DU142" s="214"/>
      <c r="DV142" s="214"/>
      <c r="DW142" s="214"/>
      <c r="DX142" s="214"/>
      <c r="DY142" s="214"/>
      <c r="DZ142" s="214"/>
      <c r="EA142" s="214"/>
      <c r="EB142" s="214"/>
      <c r="EC142" s="214"/>
      <c r="ED142" s="214"/>
      <c r="EE142" s="214"/>
      <c r="EF142" s="214"/>
      <c r="EG142" s="214"/>
      <c r="EH142" s="214"/>
      <c r="EI142" s="214"/>
      <c r="EJ142" s="214"/>
      <c r="EK142" s="214"/>
      <c r="EL142" s="214"/>
      <c r="EM142" s="214"/>
      <c r="EN142" s="214"/>
      <c r="EO142" s="214"/>
      <c r="EP142" s="214"/>
      <c r="EQ142" s="214"/>
      <c r="ER142" s="214"/>
      <c r="ES142" s="214"/>
      <c r="ET142" s="214"/>
      <c r="EU142" s="214"/>
      <c r="EV142" s="214"/>
      <c r="EW142" s="214"/>
      <c r="EX142" s="214"/>
      <c r="EY142" s="214"/>
      <c r="EZ142" s="214"/>
      <c r="FA142" s="214"/>
      <c r="FB142" s="214"/>
      <c r="FC142" s="214"/>
      <c r="FD142" s="214"/>
      <c r="FE142" s="214"/>
      <c r="FF142" s="214"/>
      <c r="FG142" s="214"/>
      <c r="FH142" s="214"/>
      <c r="FI142" s="214"/>
      <c r="FJ142" s="214"/>
      <c r="FK142" s="214"/>
      <c r="FL142" s="214"/>
      <c r="FM142" s="214"/>
      <c r="FN142" s="214"/>
      <c r="FO142" s="214"/>
      <c r="FP142" s="214"/>
      <c r="FQ142" s="214"/>
      <c r="FR142" s="214"/>
      <c r="FS142" s="214"/>
      <c r="FT142" s="214"/>
      <c r="FU142" s="214"/>
      <c r="FV142" s="214"/>
      <c r="FW142" s="214"/>
      <c r="FX142" s="214"/>
      <c r="FY142" s="214"/>
      <c r="FZ142" s="214"/>
      <c r="GA142" s="214"/>
      <c r="GB142" s="214"/>
      <c r="GC142" s="214"/>
      <c r="GD142" s="214"/>
      <c r="GE142" s="214"/>
      <c r="GF142" s="214"/>
      <c r="GG142" s="214"/>
      <c r="GH142" s="214"/>
      <c r="GI142" s="214"/>
      <c r="GJ142" s="214"/>
      <c r="GK142" s="214"/>
      <c r="GL142" s="214"/>
      <c r="GM142" s="214"/>
      <c r="GN142" s="214"/>
      <c r="GO142" s="214"/>
      <c r="GP142" s="214"/>
      <c r="GQ142" s="214"/>
      <c r="GR142" s="214"/>
      <c r="GS142" s="214"/>
      <c r="GT142" s="214"/>
      <c r="GU142" s="214"/>
      <c r="GV142" s="214"/>
      <c r="GW142" s="214"/>
      <c r="GX142" s="214"/>
      <c r="GY142" s="214"/>
      <c r="GZ142" s="214"/>
      <c r="HA142" s="214"/>
      <c r="HB142" s="214"/>
      <c r="HC142" s="214"/>
      <c r="HD142" s="214"/>
      <c r="HE142" s="214"/>
      <c r="HF142" s="214"/>
      <c r="HG142" s="214"/>
      <c r="HH142" s="214"/>
      <c r="HI142" s="214"/>
      <c r="HJ142" s="214"/>
      <c r="HK142" s="214"/>
      <c r="HL142" s="214"/>
      <c r="HM142" s="214"/>
      <c r="HN142" s="214"/>
      <c r="HO142" s="214"/>
      <c r="HP142" s="214"/>
      <c r="HQ142" s="214"/>
      <c r="HR142" s="214"/>
      <c r="HS142" s="214"/>
      <c r="HT142" s="214"/>
      <c r="HU142" s="214"/>
      <c r="HV142" s="214"/>
      <c r="HW142" s="214"/>
      <c r="HX142" s="214"/>
      <c r="HY142" s="214"/>
      <c r="HZ142" s="214"/>
      <c r="IA142" s="214"/>
      <c r="IB142" s="214"/>
      <c r="IC142" s="214"/>
      <c r="ID142" s="214"/>
      <c r="IE142" s="214"/>
      <c r="IF142" s="214"/>
      <c r="IG142" s="214"/>
      <c r="IH142" s="214"/>
      <c r="II142" s="214"/>
      <c r="IJ142" s="214"/>
      <c r="IK142" s="214"/>
      <c r="IL142" s="214"/>
      <c r="IM142" s="214"/>
      <c r="IN142" s="214"/>
      <c r="IO142" s="214"/>
      <c r="IP142" s="214"/>
      <c r="IQ142" s="214"/>
      <c r="IR142" s="214"/>
      <c r="IS142" s="214"/>
      <c r="IT142" s="214"/>
      <c r="IU142" s="214"/>
      <c r="IV142" s="214"/>
      <c r="IW142" s="214"/>
      <c r="IX142" s="214"/>
      <c r="IY142" s="214"/>
      <c r="IZ142" s="214"/>
      <c r="JA142" s="214"/>
      <c r="JB142" s="214"/>
      <c r="JC142" s="214"/>
      <c r="JD142" s="214"/>
      <c r="JE142" s="214"/>
      <c r="JF142" s="214"/>
      <c r="JG142" s="214"/>
      <c r="JH142" s="214"/>
      <c r="JI142" s="214"/>
    </row>
    <row r="143" spans="1:269">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c r="CG143" s="214"/>
      <c r="CH143" s="214"/>
      <c r="CI143" s="214"/>
      <c r="CJ143" s="214"/>
      <c r="CK143" s="214"/>
      <c r="CL143" s="214"/>
      <c r="CM143" s="214"/>
      <c r="CN143" s="214"/>
      <c r="CO143" s="214"/>
      <c r="CP143" s="214"/>
      <c r="CQ143" s="214"/>
      <c r="CR143" s="214"/>
      <c r="CS143" s="214"/>
      <c r="CT143" s="214"/>
      <c r="CU143" s="214"/>
      <c r="CV143" s="214"/>
      <c r="CW143" s="214"/>
      <c r="CX143" s="214"/>
      <c r="CY143" s="214"/>
      <c r="CZ143" s="214"/>
      <c r="DA143" s="214"/>
      <c r="DB143" s="214"/>
      <c r="DC143" s="214"/>
      <c r="DD143" s="214"/>
      <c r="DE143" s="214"/>
      <c r="DF143" s="214"/>
      <c r="DG143" s="214"/>
      <c r="DH143" s="214"/>
      <c r="DI143" s="214"/>
      <c r="DJ143" s="214"/>
      <c r="DK143" s="214"/>
      <c r="DL143" s="214"/>
      <c r="DM143" s="214"/>
      <c r="DN143" s="214"/>
      <c r="DO143" s="214"/>
      <c r="DP143" s="214"/>
      <c r="DQ143" s="214"/>
      <c r="DR143" s="214"/>
      <c r="DS143" s="214"/>
      <c r="DT143" s="214"/>
      <c r="DU143" s="214"/>
      <c r="DV143" s="214"/>
      <c r="DW143" s="214"/>
      <c r="DX143" s="214"/>
      <c r="DY143" s="214"/>
      <c r="DZ143" s="214"/>
      <c r="EA143" s="214"/>
      <c r="EB143" s="214"/>
      <c r="EC143" s="214"/>
      <c r="ED143" s="214"/>
      <c r="EE143" s="214"/>
      <c r="EF143" s="214"/>
      <c r="EG143" s="214"/>
      <c r="EH143" s="214"/>
      <c r="EI143" s="214"/>
      <c r="EJ143" s="214"/>
      <c r="EK143" s="214"/>
      <c r="EL143" s="214"/>
      <c r="EM143" s="214"/>
      <c r="EN143" s="214"/>
      <c r="EO143" s="214"/>
      <c r="EP143" s="214"/>
      <c r="EQ143" s="214"/>
      <c r="ER143" s="214"/>
      <c r="ES143" s="214"/>
      <c r="ET143" s="214"/>
      <c r="EU143" s="214"/>
      <c r="EV143" s="214"/>
      <c r="EW143" s="214"/>
      <c r="EX143" s="214"/>
      <c r="EY143" s="214"/>
      <c r="EZ143" s="214"/>
      <c r="FA143" s="214"/>
      <c r="FB143" s="214"/>
      <c r="FC143" s="214"/>
      <c r="FD143" s="214"/>
      <c r="FE143" s="214"/>
      <c r="FF143" s="214"/>
      <c r="FG143" s="214"/>
      <c r="FH143" s="214"/>
      <c r="FI143" s="214"/>
      <c r="FJ143" s="214"/>
      <c r="FK143" s="214"/>
      <c r="FL143" s="214"/>
      <c r="FM143" s="214"/>
      <c r="FN143" s="214"/>
      <c r="FO143" s="214"/>
      <c r="FP143" s="214"/>
      <c r="FQ143" s="214"/>
      <c r="FR143" s="214"/>
      <c r="FS143" s="214"/>
      <c r="FT143" s="214"/>
      <c r="FU143" s="214"/>
      <c r="FV143" s="214"/>
      <c r="FW143" s="214"/>
      <c r="FX143" s="214"/>
      <c r="FY143" s="214"/>
      <c r="FZ143" s="214"/>
      <c r="GA143" s="214"/>
      <c r="GB143" s="214"/>
      <c r="GC143" s="214"/>
      <c r="GD143" s="214"/>
      <c r="GE143" s="214"/>
      <c r="GF143" s="214"/>
      <c r="GG143" s="214"/>
      <c r="GH143" s="214"/>
      <c r="GI143" s="214"/>
      <c r="GJ143" s="214"/>
      <c r="GK143" s="214"/>
      <c r="GL143" s="214"/>
      <c r="GM143" s="214"/>
      <c r="GN143" s="214"/>
      <c r="GO143" s="214"/>
      <c r="GP143" s="214"/>
      <c r="GQ143" s="214"/>
      <c r="GR143" s="214"/>
      <c r="GS143" s="214"/>
      <c r="GT143" s="214"/>
      <c r="GU143" s="214"/>
      <c r="GV143" s="214"/>
      <c r="GW143" s="214"/>
      <c r="GX143" s="214"/>
      <c r="GY143" s="214"/>
      <c r="GZ143" s="214"/>
      <c r="HA143" s="214"/>
      <c r="HB143" s="214"/>
      <c r="HC143" s="214"/>
      <c r="HD143" s="214"/>
      <c r="HE143" s="214"/>
      <c r="HF143" s="214"/>
      <c r="HG143" s="214"/>
      <c r="HH143" s="214"/>
      <c r="HI143" s="214"/>
      <c r="HJ143" s="214"/>
      <c r="HK143" s="214"/>
      <c r="HL143" s="214"/>
      <c r="HM143" s="214"/>
      <c r="HN143" s="214"/>
      <c r="HO143" s="214"/>
      <c r="HP143" s="214"/>
      <c r="HQ143" s="214"/>
      <c r="HR143" s="214"/>
      <c r="HS143" s="214"/>
      <c r="HT143" s="214"/>
      <c r="HU143" s="214"/>
      <c r="HV143" s="214"/>
      <c r="HW143" s="214"/>
      <c r="HX143" s="214"/>
      <c r="HY143" s="214"/>
      <c r="HZ143" s="214"/>
      <c r="IA143" s="214"/>
      <c r="IB143" s="214"/>
      <c r="IC143" s="214"/>
      <c r="ID143" s="214"/>
      <c r="IE143" s="214"/>
      <c r="IF143" s="214"/>
      <c r="IG143" s="214"/>
      <c r="IH143" s="214"/>
      <c r="II143" s="214"/>
      <c r="IJ143" s="214"/>
      <c r="IK143" s="214"/>
      <c r="IL143" s="214"/>
      <c r="IM143" s="214"/>
      <c r="IN143" s="214"/>
      <c r="IO143" s="214"/>
      <c r="IP143" s="214"/>
      <c r="IQ143" s="214"/>
      <c r="IR143" s="214"/>
      <c r="IS143" s="214"/>
      <c r="IT143" s="214"/>
      <c r="IU143" s="214"/>
      <c r="IV143" s="214"/>
      <c r="IW143" s="214"/>
      <c r="IX143" s="214"/>
      <c r="IY143" s="214"/>
      <c r="IZ143" s="214"/>
      <c r="JA143" s="214"/>
      <c r="JB143" s="214"/>
      <c r="JC143" s="214"/>
      <c r="JD143" s="214"/>
      <c r="JE143" s="214"/>
      <c r="JF143" s="214"/>
      <c r="JG143" s="214"/>
      <c r="JH143" s="214"/>
      <c r="JI143" s="214"/>
    </row>
    <row r="144" spans="1:269">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c r="CG144" s="214"/>
      <c r="CH144" s="214"/>
      <c r="CI144" s="214"/>
      <c r="CJ144" s="214"/>
      <c r="CK144" s="214"/>
      <c r="CL144" s="214"/>
      <c r="CM144" s="214"/>
      <c r="CN144" s="214"/>
      <c r="CO144" s="214"/>
      <c r="CP144" s="214"/>
      <c r="CQ144" s="214"/>
      <c r="CR144" s="214"/>
      <c r="CS144" s="214"/>
      <c r="CT144" s="214"/>
      <c r="CU144" s="214"/>
      <c r="CV144" s="214"/>
      <c r="CW144" s="214"/>
      <c r="CX144" s="214"/>
      <c r="CY144" s="214"/>
      <c r="CZ144" s="214"/>
      <c r="DA144" s="214"/>
      <c r="DB144" s="214"/>
      <c r="DC144" s="214"/>
      <c r="DD144" s="214"/>
      <c r="DE144" s="214"/>
      <c r="DF144" s="214"/>
      <c r="DG144" s="214"/>
      <c r="DH144" s="214"/>
      <c r="DI144" s="214"/>
      <c r="DJ144" s="214"/>
      <c r="DK144" s="214"/>
      <c r="DL144" s="214"/>
      <c r="DM144" s="214"/>
      <c r="DN144" s="214"/>
      <c r="DO144" s="214"/>
      <c r="DP144" s="214"/>
      <c r="DQ144" s="214"/>
      <c r="DR144" s="214"/>
      <c r="DS144" s="214"/>
      <c r="DT144" s="214"/>
      <c r="DU144" s="214"/>
      <c r="DV144" s="214"/>
      <c r="DW144" s="214"/>
      <c r="DX144" s="214"/>
      <c r="DY144" s="214"/>
      <c r="DZ144" s="214"/>
      <c r="EA144" s="214"/>
      <c r="EB144" s="214"/>
      <c r="EC144" s="214"/>
      <c r="ED144" s="214"/>
      <c r="EE144" s="214"/>
      <c r="EF144" s="214"/>
      <c r="EG144" s="214"/>
      <c r="EH144" s="214"/>
      <c r="EI144" s="214"/>
      <c r="EJ144" s="214"/>
      <c r="EK144" s="214"/>
      <c r="EL144" s="214"/>
      <c r="EM144" s="214"/>
      <c r="EN144" s="214"/>
      <c r="EO144" s="214"/>
      <c r="EP144" s="214"/>
      <c r="EQ144" s="214"/>
      <c r="ER144" s="214"/>
      <c r="ES144" s="214"/>
      <c r="ET144" s="214"/>
      <c r="EU144" s="214"/>
      <c r="EV144" s="214"/>
      <c r="EW144" s="214"/>
      <c r="EX144" s="214"/>
      <c r="EY144" s="214"/>
      <c r="EZ144" s="214"/>
      <c r="FA144" s="214"/>
      <c r="FB144" s="214"/>
      <c r="FC144" s="214"/>
      <c r="FD144" s="214"/>
      <c r="FE144" s="214"/>
      <c r="FF144" s="214"/>
      <c r="FG144" s="214"/>
      <c r="FH144" s="214"/>
      <c r="FI144" s="214"/>
      <c r="FJ144" s="214"/>
      <c r="FK144" s="214"/>
      <c r="FL144" s="214"/>
      <c r="FM144" s="214"/>
      <c r="FN144" s="214"/>
      <c r="FO144" s="214"/>
      <c r="FP144" s="214"/>
      <c r="FQ144" s="214"/>
      <c r="FR144" s="214"/>
      <c r="FS144" s="214"/>
      <c r="FT144" s="214"/>
      <c r="FU144" s="214"/>
      <c r="FV144" s="214"/>
      <c r="FW144" s="214"/>
      <c r="FX144" s="214"/>
      <c r="FY144" s="214"/>
      <c r="FZ144" s="214"/>
      <c r="GA144" s="214"/>
      <c r="GB144" s="214"/>
      <c r="GC144" s="214"/>
      <c r="GD144" s="214"/>
      <c r="GE144" s="214"/>
      <c r="GF144" s="214"/>
      <c r="GG144" s="214"/>
      <c r="GH144" s="214"/>
      <c r="GI144" s="214"/>
      <c r="GJ144" s="214"/>
      <c r="GK144" s="214"/>
      <c r="GL144" s="214"/>
      <c r="GM144" s="214"/>
      <c r="GN144" s="214"/>
      <c r="GO144" s="214"/>
      <c r="GP144" s="214"/>
      <c r="GQ144" s="214"/>
      <c r="GR144" s="214"/>
      <c r="GS144" s="214"/>
      <c r="GT144" s="214"/>
      <c r="GU144" s="214"/>
      <c r="GV144" s="214"/>
      <c r="GW144" s="214"/>
      <c r="GX144" s="214"/>
      <c r="GY144" s="214"/>
      <c r="GZ144" s="214"/>
      <c r="HA144" s="214"/>
      <c r="HB144" s="214"/>
      <c r="HC144" s="214"/>
      <c r="HD144" s="214"/>
      <c r="HE144" s="214"/>
      <c r="HF144" s="214"/>
      <c r="HG144" s="214"/>
      <c r="HH144" s="214"/>
      <c r="HI144" s="214"/>
      <c r="HJ144" s="214"/>
      <c r="HK144" s="214"/>
      <c r="HL144" s="214"/>
      <c r="HM144" s="214"/>
      <c r="HN144" s="214"/>
      <c r="HO144" s="214"/>
      <c r="HP144" s="214"/>
      <c r="HQ144" s="214"/>
      <c r="HR144" s="214"/>
      <c r="HS144" s="214"/>
      <c r="HT144" s="214"/>
      <c r="HU144" s="214"/>
      <c r="HV144" s="214"/>
      <c r="HW144" s="214"/>
      <c r="HX144" s="214"/>
      <c r="HY144" s="214"/>
      <c r="HZ144" s="214"/>
      <c r="IA144" s="214"/>
      <c r="IB144" s="214"/>
      <c r="IC144" s="214"/>
      <c r="ID144" s="214"/>
      <c r="IE144" s="214"/>
      <c r="IF144" s="214"/>
      <c r="IG144" s="214"/>
      <c r="IH144" s="214"/>
      <c r="II144" s="214"/>
      <c r="IJ144" s="214"/>
      <c r="IK144" s="214"/>
      <c r="IL144" s="214"/>
      <c r="IM144" s="214"/>
      <c r="IN144" s="214"/>
      <c r="IO144" s="214"/>
      <c r="IP144" s="214"/>
      <c r="IQ144" s="214"/>
      <c r="IR144" s="214"/>
      <c r="IS144" s="214"/>
      <c r="IT144" s="214"/>
      <c r="IU144" s="214"/>
      <c r="IV144" s="214"/>
      <c r="IW144" s="214"/>
      <c r="IX144" s="214"/>
      <c r="IY144" s="214"/>
      <c r="IZ144" s="214"/>
      <c r="JA144" s="214"/>
      <c r="JB144" s="214"/>
      <c r="JC144" s="214"/>
      <c r="JD144" s="214"/>
      <c r="JE144" s="214"/>
      <c r="JF144" s="214"/>
      <c r="JG144" s="214"/>
      <c r="JH144" s="214"/>
      <c r="JI144" s="214"/>
    </row>
    <row r="145" spans="1:269">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c r="CG145" s="214"/>
      <c r="CH145" s="214"/>
      <c r="CI145" s="214"/>
      <c r="CJ145" s="214"/>
      <c r="CK145" s="214"/>
      <c r="CL145" s="214"/>
      <c r="CM145" s="214"/>
      <c r="CN145" s="214"/>
      <c r="CO145" s="214"/>
      <c r="CP145" s="214"/>
      <c r="CQ145" s="214"/>
      <c r="CR145" s="214"/>
      <c r="CS145" s="214"/>
      <c r="CT145" s="214"/>
      <c r="CU145" s="214"/>
      <c r="CV145" s="214"/>
      <c r="CW145" s="214"/>
      <c r="CX145" s="214"/>
      <c r="CY145" s="214"/>
      <c r="CZ145" s="214"/>
      <c r="DA145" s="214"/>
      <c r="DB145" s="214"/>
      <c r="DC145" s="214"/>
      <c r="DD145" s="214"/>
      <c r="DE145" s="214"/>
      <c r="DF145" s="214"/>
      <c r="DG145" s="214"/>
      <c r="DH145" s="214"/>
      <c r="DI145" s="214"/>
      <c r="DJ145" s="214"/>
      <c r="DK145" s="214"/>
      <c r="DL145" s="214"/>
      <c r="DM145" s="214"/>
      <c r="DN145" s="214"/>
      <c r="DO145" s="214"/>
      <c r="DP145" s="214"/>
      <c r="DQ145" s="214"/>
      <c r="DR145" s="214"/>
      <c r="DS145" s="214"/>
      <c r="DT145" s="214"/>
      <c r="DU145" s="214"/>
      <c r="DV145" s="214"/>
      <c r="DW145" s="214"/>
      <c r="DX145" s="214"/>
      <c r="DY145" s="214"/>
      <c r="DZ145" s="214"/>
      <c r="EA145" s="214"/>
      <c r="EB145" s="214"/>
      <c r="EC145" s="214"/>
      <c r="ED145" s="214"/>
      <c r="EE145" s="214"/>
      <c r="EF145" s="214"/>
      <c r="EG145" s="214"/>
      <c r="EH145" s="214"/>
      <c r="EI145" s="214"/>
      <c r="EJ145" s="214"/>
      <c r="EK145" s="214"/>
      <c r="EL145" s="214"/>
      <c r="EM145" s="214"/>
      <c r="EN145" s="214"/>
      <c r="EO145" s="214"/>
      <c r="EP145" s="214"/>
      <c r="EQ145" s="214"/>
      <c r="ER145" s="214"/>
      <c r="ES145" s="214"/>
      <c r="ET145" s="214"/>
      <c r="EU145" s="214"/>
      <c r="EV145" s="214"/>
      <c r="EW145" s="214"/>
      <c r="EX145" s="214"/>
      <c r="EY145" s="214"/>
      <c r="EZ145" s="214"/>
      <c r="FA145" s="214"/>
      <c r="FB145" s="214"/>
      <c r="FC145" s="214"/>
      <c r="FD145" s="214"/>
      <c r="FE145" s="214"/>
      <c r="FF145" s="214"/>
      <c r="FG145" s="214"/>
      <c r="FH145" s="214"/>
      <c r="FI145" s="214"/>
      <c r="FJ145" s="214"/>
      <c r="FK145" s="214"/>
      <c r="FL145" s="214"/>
      <c r="FM145" s="214"/>
      <c r="FN145" s="214"/>
      <c r="FO145" s="214"/>
      <c r="FP145" s="214"/>
      <c r="FQ145" s="214"/>
      <c r="FR145" s="214"/>
      <c r="FS145" s="214"/>
      <c r="FT145" s="214"/>
      <c r="FU145" s="214"/>
      <c r="FV145" s="214"/>
      <c r="FW145" s="214"/>
      <c r="FX145" s="214"/>
      <c r="FY145" s="214"/>
      <c r="FZ145" s="214"/>
      <c r="GA145" s="214"/>
      <c r="GB145" s="214"/>
      <c r="GC145" s="214"/>
      <c r="GD145" s="214"/>
      <c r="GE145" s="214"/>
      <c r="GF145" s="214"/>
      <c r="GG145" s="214"/>
      <c r="GH145" s="214"/>
      <c r="GI145" s="214"/>
      <c r="GJ145" s="214"/>
      <c r="GK145" s="214"/>
      <c r="GL145" s="214"/>
      <c r="GM145" s="214"/>
      <c r="GN145" s="214"/>
      <c r="GO145" s="214"/>
      <c r="GP145" s="214"/>
      <c r="GQ145" s="214"/>
      <c r="GR145" s="214"/>
      <c r="GS145" s="214"/>
      <c r="GT145" s="214"/>
      <c r="GU145" s="214"/>
      <c r="GV145" s="214"/>
      <c r="GW145" s="214"/>
      <c r="GX145" s="214"/>
      <c r="GY145" s="214"/>
      <c r="GZ145" s="214"/>
      <c r="HA145" s="214"/>
      <c r="HB145" s="214"/>
      <c r="HC145" s="214"/>
      <c r="HD145" s="214"/>
      <c r="HE145" s="214"/>
      <c r="HF145" s="214"/>
      <c r="HG145" s="214"/>
      <c r="HH145" s="214"/>
      <c r="HI145" s="214"/>
      <c r="HJ145" s="214"/>
      <c r="HK145" s="214"/>
      <c r="HL145" s="214"/>
      <c r="HM145" s="214"/>
      <c r="HN145" s="214"/>
      <c r="HO145" s="214"/>
      <c r="HP145" s="214"/>
      <c r="HQ145" s="214"/>
      <c r="HR145" s="214"/>
      <c r="HS145" s="214"/>
      <c r="HT145" s="214"/>
      <c r="HU145" s="214"/>
      <c r="HV145" s="214"/>
      <c r="HW145" s="214"/>
      <c r="HX145" s="214"/>
      <c r="HY145" s="214"/>
      <c r="HZ145" s="214"/>
      <c r="IA145" s="214"/>
      <c r="IB145" s="214"/>
      <c r="IC145" s="214"/>
      <c r="ID145" s="214"/>
      <c r="IE145" s="214"/>
      <c r="IF145" s="214"/>
      <c r="IG145" s="214"/>
      <c r="IH145" s="214"/>
      <c r="II145" s="214"/>
      <c r="IJ145" s="214"/>
      <c r="IK145" s="214"/>
      <c r="IL145" s="214"/>
      <c r="IM145" s="214"/>
      <c r="IN145" s="214"/>
      <c r="IO145" s="214"/>
      <c r="IP145" s="214"/>
      <c r="IQ145" s="214"/>
      <c r="IR145" s="214"/>
      <c r="IS145" s="214"/>
      <c r="IT145" s="214"/>
      <c r="IU145" s="214"/>
      <c r="IV145" s="214"/>
      <c r="IW145" s="214"/>
      <c r="IX145" s="214"/>
      <c r="IY145" s="214"/>
      <c r="IZ145" s="214"/>
      <c r="JA145" s="214"/>
      <c r="JB145" s="214"/>
      <c r="JC145" s="214"/>
      <c r="JD145" s="214"/>
      <c r="JE145" s="214"/>
      <c r="JF145" s="214"/>
      <c r="JG145" s="214"/>
      <c r="JH145" s="214"/>
      <c r="JI145" s="214"/>
    </row>
    <row r="146" spans="1:269">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c r="CG146" s="214"/>
      <c r="CH146" s="214"/>
      <c r="CI146" s="214"/>
      <c r="CJ146" s="214"/>
      <c r="CK146" s="214"/>
      <c r="CL146" s="214"/>
      <c r="CM146" s="214"/>
      <c r="CN146" s="214"/>
      <c r="CO146" s="214"/>
      <c r="CP146" s="214"/>
      <c r="CQ146" s="214"/>
      <c r="CR146" s="214"/>
      <c r="CS146" s="214"/>
      <c r="CT146" s="214"/>
      <c r="CU146" s="214"/>
      <c r="CV146" s="214"/>
      <c r="CW146" s="214"/>
      <c r="CX146" s="214"/>
      <c r="CY146" s="214"/>
      <c r="CZ146" s="214"/>
      <c r="DA146" s="214"/>
      <c r="DB146" s="214"/>
      <c r="DC146" s="214"/>
      <c r="DD146" s="214"/>
      <c r="DE146" s="214"/>
      <c r="DF146" s="214"/>
      <c r="DG146" s="214"/>
      <c r="DH146" s="214"/>
      <c r="DI146" s="214"/>
      <c r="DJ146" s="214"/>
      <c r="DK146" s="214"/>
      <c r="DL146" s="214"/>
      <c r="DM146" s="214"/>
      <c r="DN146" s="214"/>
      <c r="DO146" s="214"/>
      <c r="DP146" s="214"/>
      <c r="DQ146" s="214"/>
      <c r="DR146" s="214"/>
      <c r="DS146" s="214"/>
      <c r="DT146" s="214"/>
      <c r="DU146" s="214"/>
      <c r="DV146" s="214"/>
      <c r="DW146" s="214"/>
      <c r="DX146" s="214"/>
      <c r="DY146" s="214"/>
      <c r="DZ146" s="214"/>
      <c r="EA146" s="214"/>
      <c r="EB146" s="214"/>
      <c r="EC146" s="214"/>
      <c r="ED146" s="214"/>
      <c r="EE146" s="214"/>
      <c r="EF146" s="214"/>
      <c r="EG146" s="214"/>
      <c r="EH146" s="214"/>
      <c r="EI146" s="214"/>
      <c r="EJ146" s="214"/>
      <c r="EK146" s="214"/>
      <c r="EL146" s="214"/>
      <c r="EM146" s="214"/>
      <c r="EN146" s="214"/>
      <c r="EO146" s="214"/>
      <c r="EP146" s="214"/>
      <c r="EQ146" s="214"/>
      <c r="ER146" s="214"/>
      <c r="ES146" s="214"/>
      <c r="ET146" s="214"/>
      <c r="EU146" s="214"/>
      <c r="EV146" s="214"/>
      <c r="EW146" s="214"/>
      <c r="EX146" s="214"/>
      <c r="EY146" s="214"/>
      <c r="EZ146" s="214"/>
      <c r="FA146" s="214"/>
      <c r="FB146" s="214"/>
      <c r="FC146" s="214"/>
      <c r="FD146" s="214"/>
      <c r="FE146" s="214"/>
      <c r="FF146" s="214"/>
      <c r="FG146" s="214"/>
      <c r="FH146" s="214"/>
      <c r="FI146" s="214"/>
      <c r="FJ146" s="214"/>
      <c r="FK146" s="214"/>
      <c r="FL146" s="214"/>
      <c r="FM146" s="214"/>
      <c r="FN146" s="214"/>
      <c r="FO146" s="214"/>
      <c r="FP146" s="214"/>
      <c r="FQ146" s="214"/>
      <c r="FR146" s="214"/>
      <c r="FS146" s="214"/>
      <c r="FT146" s="214"/>
      <c r="FU146" s="214"/>
      <c r="FV146" s="214"/>
      <c r="FW146" s="214"/>
      <c r="FX146" s="214"/>
      <c r="FY146" s="214"/>
      <c r="FZ146" s="214"/>
      <c r="GA146" s="214"/>
      <c r="GB146" s="214"/>
      <c r="GC146" s="214"/>
      <c r="GD146" s="214"/>
      <c r="GE146" s="214"/>
      <c r="GF146" s="214"/>
      <c r="GG146" s="214"/>
      <c r="GH146" s="214"/>
      <c r="GI146" s="214"/>
      <c r="GJ146" s="214"/>
      <c r="GK146" s="214"/>
      <c r="GL146" s="214"/>
      <c r="GM146" s="214"/>
      <c r="GN146" s="214"/>
      <c r="GO146" s="214"/>
      <c r="GP146" s="214"/>
      <c r="GQ146" s="214"/>
      <c r="GR146" s="214"/>
      <c r="GS146" s="214"/>
      <c r="GT146" s="214"/>
      <c r="GU146" s="214"/>
      <c r="GV146" s="214"/>
      <c r="GW146" s="214"/>
      <c r="GX146" s="214"/>
      <c r="GY146" s="214"/>
      <c r="GZ146" s="214"/>
      <c r="HA146" s="214"/>
      <c r="HB146" s="214"/>
      <c r="HC146" s="214"/>
      <c r="HD146" s="214"/>
      <c r="HE146" s="214"/>
      <c r="HF146" s="214"/>
      <c r="HG146" s="214"/>
      <c r="HH146" s="214"/>
      <c r="HI146" s="214"/>
      <c r="HJ146" s="214"/>
      <c r="HK146" s="214"/>
      <c r="HL146" s="214"/>
      <c r="HM146" s="214"/>
      <c r="HN146" s="214"/>
      <c r="HO146" s="214"/>
      <c r="HP146" s="214"/>
      <c r="HQ146" s="214"/>
      <c r="HR146" s="214"/>
      <c r="HS146" s="214"/>
      <c r="HT146" s="214"/>
      <c r="HU146" s="214"/>
      <c r="HV146" s="214"/>
      <c r="HW146" s="214"/>
      <c r="HX146" s="214"/>
      <c r="HY146" s="214"/>
      <c r="HZ146" s="214"/>
      <c r="IA146" s="214"/>
      <c r="IB146" s="214"/>
      <c r="IC146" s="214"/>
      <c r="ID146" s="214"/>
      <c r="IE146" s="214"/>
      <c r="IF146" s="214"/>
      <c r="IG146" s="214"/>
      <c r="IH146" s="214"/>
      <c r="II146" s="214"/>
      <c r="IJ146" s="214"/>
      <c r="IK146" s="214"/>
      <c r="IL146" s="214"/>
      <c r="IM146" s="214"/>
      <c r="IN146" s="214"/>
      <c r="IO146" s="214"/>
      <c r="IP146" s="214"/>
      <c r="IQ146" s="214"/>
      <c r="IR146" s="214"/>
      <c r="IS146" s="214"/>
      <c r="IT146" s="214"/>
      <c r="IU146" s="214"/>
      <c r="IV146" s="214"/>
      <c r="IW146" s="214"/>
      <c r="IX146" s="214"/>
      <c r="IY146" s="214"/>
      <c r="IZ146" s="214"/>
      <c r="JA146" s="214"/>
      <c r="JB146" s="214"/>
      <c r="JC146" s="214"/>
      <c r="JD146" s="214"/>
      <c r="JE146" s="214"/>
      <c r="JF146" s="214"/>
      <c r="JG146" s="214"/>
      <c r="JH146" s="214"/>
      <c r="JI146" s="214"/>
    </row>
    <row r="147" spans="1:269">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c r="CG147" s="214"/>
      <c r="CH147" s="214"/>
      <c r="CI147" s="214"/>
      <c r="CJ147" s="214"/>
      <c r="CK147" s="214"/>
      <c r="CL147" s="214"/>
      <c r="CM147" s="214"/>
      <c r="CN147" s="214"/>
      <c r="CO147" s="214"/>
      <c r="CP147" s="214"/>
      <c r="CQ147" s="214"/>
      <c r="CR147" s="214"/>
      <c r="CS147" s="214"/>
      <c r="CT147" s="214"/>
      <c r="CU147" s="214"/>
      <c r="CV147" s="214"/>
      <c r="CW147" s="214"/>
      <c r="CX147" s="214"/>
      <c r="CY147" s="214"/>
      <c r="CZ147" s="214"/>
      <c r="DA147" s="214"/>
      <c r="DB147" s="214"/>
      <c r="DC147" s="214"/>
      <c r="DD147" s="214"/>
      <c r="DE147" s="214"/>
      <c r="DF147" s="214"/>
      <c r="DG147" s="214"/>
      <c r="DH147" s="214"/>
      <c r="DI147" s="214"/>
      <c r="DJ147" s="214"/>
      <c r="DK147" s="214"/>
      <c r="DL147" s="214"/>
      <c r="DM147" s="214"/>
      <c r="DN147" s="214"/>
      <c r="DO147" s="214"/>
      <c r="DP147" s="214"/>
      <c r="DQ147" s="214"/>
      <c r="DR147" s="214"/>
      <c r="DS147" s="214"/>
      <c r="DT147" s="214"/>
      <c r="DU147" s="214"/>
      <c r="DV147" s="214"/>
      <c r="DW147" s="214"/>
      <c r="DX147" s="214"/>
      <c r="DY147" s="214"/>
      <c r="DZ147" s="214"/>
      <c r="EA147" s="214"/>
      <c r="EB147" s="214"/>
      <c r="EC147" s="214"/>
      <c r="ED147" s="214"/>
      <c r="EE147" s="214"/>
      <c r="EF147" s="214"/>
      <c r="EG147" s="214"/>
      <c r="EH147" s="214"/>
      <c r="EI147" s="214"/>
      <c r="EJ147" s="214"/>
      <c r="EK147" s="214"/>
      <c r="EL147" s="214"/>
      <c r="EM147" s="214"/>
      <c r="EN147" s="214"/>
      <c r="EO147" s="214"/>
      <c r="EP147" s="214"/>
      <c r="EQ147" s="214"/>
      <c r="ER147" s="214"/>
      <c r="ES147" s="214"/>
      <c r="ET147" s="214"/>
      <c r="EU147" s="214"/>
      <c r="EV147" s="214"/>
      <c r="EW147" s="214"/>
      <c r="EX147" s="214"/>
      <c r="EY147" s="214"/>
      <c r="EZ147" s="214"/>
      <c r="FA147" s="214"/>
      <c r="FB147" s="214"/>
      <c r="FC147" s="214"/>
      <c r="FD147" s="214"/>
      <c r="FE147" s="214"/>
      <c r="FF147" s="214"/>
      <c r="FG147" s="214"/>
      <c r="FH147" s="214"/>
      <c r="FI147" s="214"/>
      <c r="FJ147" s="214"/>
      <c r="FK147" s="214"/>
      <c r="FL147" s="214"/>
      <c r="FM147" s="214"/>
      <c r="FN147" s="214"/>
      <c r="FO147" s="214"/>
      <c r="FP147" s="214"/>
      <c r="FQ147" s="214"/>
      <c r="FR147" s="214"/>
      <c r="FS147" s="214"/>
      <c r="FT147" s="214"/>
      <c r="FU147" s="214"/>
      <c r="FV147" s="214"/>
      <c r="FW147" s="214"/>
      <c r="FX147" s="214"/>
      <c r="FY147" s="214"/>
      <c r="FZ147" s="214"/>
      <c r="GA147" s="214"/>
      <c r="GB147" s="214"/>
      <c r="GC147" s="214"/>
      <c r="GD147" s="214"/>
      <c r="GE147" s="214"/>
      <c r="GF147" s="214"/>
      <c r="GG147" s="214"/>
      <c r="GH147" s="214"/>
      <c r="GI147" s="214"/>
      <c r="GJ147" s="214"/>
      <c r="GK147" s="214"/>
      <c r="GL147" s="214"/>
      <c r="GM147" s="214"/>
      <c r="GN147" s="214"/>
      <c r="GO147" s="214"/>
      <c r="GP147" s="214"/>
      <c r="GQ147" s="214"/>
      <c r="GR147" s="214"/>
      <c r="GS147" s="214"/>
      <c r="GT147" s="214"/>
      <c r="GU147" s="214"/>
      <c r="GV147" s="214"/>
      <c r="GW147" s="214"/>
      <c r="GX147" s="214"/>
      <c r="GY147" s="214"/>
      <c r="GZ147" s="214"/>
      <c r="HA147" s="214"/>
      <c r="HB147" s="214"/>
      <c r="HC147" s="214"/>
      <c r="HD147" s="214"/>
      <c r="HE147" s="214"/>
      <c r="HF147" s="214"/>
      <c r="HG147" s="214"/>
      <c r="HH147" s="214"/>
      <c r="HI147" s="214"/>
      <c r="HJ147" s="214"/>
      <c r="HK147" s="214"/>
      <c r="HL147" s="214"/>
      <c r="HM147" s="214"/>
      <c r="HN147" s="214"/>
      <c r="HO147" s="214"/>
      <c r="HP147" s="214"/>
      <c r="HQ147" s="214"/>
      <c r="HR147" s="214"/>
      <c r="HS147" s="214"/>
      <c r="HT147" s="214"/>
      <c r="HU147" s="214"/>
      <c r="HV147" s="214"/>
      <c r="HW147" s="214"/>
      <c r="HX147" s="214"/>
      <c r="HY147" s="214"/>
      <c r="HZ147" s="214"/>
      <c r="IA147" s="214"/>
      <c r="IB147" s="214"/>
      <c r="IC147" s="214"/>
      <c r="ID147" s="214"/>
      <c r="IE147" s="214"/>
      <c r="IF147" s="214"/>
      <c r="IG147" s="214"/>
      <c r="IH147" s="214"/>
      <c r="II147" s="214"/>
      <c r="IJ147" s="214"/>
      <c r="IK147" s="214"/>
      <c r="IL147" s="214"/>
      <c r="IM147" s="214"/>
      <c r="IN147" s="214"/>
      <c r="IO147" s="214"/>
      <c r="IP147" s="214"/>
      <c r="IQ147" s="214"/>
      <c r="IR147" s="214"/>
      <c r="IS147" s="214"/>
      <c r="IT147" s="214"/>
      <c r="IU147" s="214"/>
      <c r="IV147" s="214"/>
      <c r="IW147" s="214"/>
      <c r="IX147" s="214"/>
      <c r="IY147" s="214"/>
      <c r="IZ147" s="214"/>
      <c r="JA147" s="214"/>
      <c r="JB147" s="214"/>
      <c r="JC147" s="214"/>
      <c r="JD147" s="214"/>
      <c r="JE147" s="214"/>
      <c r="JF147" s="214"/>
      <c r="JG147" s="214"/>
      <c r="JH147" s="214"/>
      <c r="JI147" s="214"/>
    </row>
    <row r="148" spans="1:269">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c r="CG148" s="214"/>
      <c r="CH148" s="214"/>
      <c r="CI148" s="214"/>
      <c r="CJ148" s="214"/>
      <c r="CK148" s="214"/>
      <c r="CL148" s="214"/>
      <c r="CM148" s="214"/>
      <c r="CN148" s="214"/>
      <c r="CO148" s="214"/>
      <c r="CP148" s="214"/>
      <c r="CQ148" s="214"/>
      <c r="CR148" s="214"/>
      <c r="CS148" s="214"/>
      <c r="CT148" s="214"/>
      <c r="CU148" s="214"/>
      <c r="CV148" s="214"/>
      <c r="CW148" s="214"/>
      <c r="CX148" s="214"/>
      <c r="CY148" s="214"/>
      <c r="CZ148" s="214"/>
      <c r="DA148" s="214"/>
      <c r="DB148" s="214"/>
      <c r="DC148" s="214"/>
      <c r="DD148" s="214"/>
      <c r="DE148" s="214"/>
      <c r="DF148" s="214"/>
      <c r="DG148" s="214"/>
      <c r="DH148" s="214"/>
      <c r="DI148" s="214"/>
      <c r="DJ148" s="214"/>
      <c r="DK148" s="214"/>
      <c r="DL148" s="214"/>
      <c r="DM148" s="214"/>
      <c r="DN148" s="214"/>
      <c r="DO148" s="214"/>
      <c r="DP148" s="214"/>
      <c r="DQ148" s="214"/>
      <c r="DR148" s="214"/>
      <c r="DS148" s="214"/>
      <c r="DT148" s="214"/>
      <c r="DU148" s="214"/>
      <c r="DV148" s="214"/>
      <c r="DW148" s="214"/>
      <c r="DX148" s="214"/>
      <c r="DY148" s="214"/>
      <c r="DZ148" s="214"/>
      <c r="EA148" s="214"/>
      <c r="EB148" s="214"/>
      <c r="EC148" s="214"/>
      <c r="ED148" s="214"/>
      <c r="EE148" s="214"/>
      <c r="EF148" s="214"/>
      <c r="EG148" s="214"/>
      <c r="EH148" s="214"/>
      <c r="EI148" s="214"/>
      <c r="EJ148" s="214"/>
      <c r="EK148" s="214"/>
      <c r="EL148" s="214"/>
      <c r="EM148" s="214"/>
      <c r="EN148" s="214"/>
      <c r="EO148" s="214"/>
      <c r="EP148" s="214"/>
      <c r="EQ148" s="214"/>
      <c r="ER148" s="214"/>
      <c r="ES148" s="214"/>
      <c r="ET148" s="214"/>
      <c r="EU148" s="214"/>
      <c r="EV148" s="214"/>
      <c r="EW148" s="214"/>
      <c r="EX148" s="214"/>
      <c r="EY148" s="214"/>
      <c r="EZ148" s="214"/>
      <c r="FA148" s="214"/>
      <c r="FB148" s="214"/>
      <c r="FC148" s="214"/>
      <c r="FD148" s="214"/>
      <c r="FE148" s="214"/>
      <c r="FF148" s="214"/>
      <c r="FG148" s="214"/>
      <c r="FH148" s="214"/>
      <c r="FI148" s="214"/>
      <c r="FJ148" s="214"/>
      <c r="FK148" s="214"/>
      <c r="FL148" s="214"/>
      <c r="FM148" s="214"/>
      <c r="FN148" s="214"/>
      <c r="FO148" s="214"/>
      <c r="FP148" s="214"/>
      <c r="FQ148" s="214"/>
      <c r="FR148" s="214"/>
      <c r="FS148" s="214"/>
      <c r="FT148" s="214"/>
      <c r="FU148" s="214"/>
      <c r="FV148" s="214"/>
      <c r="FW148" s="214"/>
      <c r="FX148" s="214"/>
      <c r="FY148" s="214"/>
      <c r="FZ148" s="214"/>
      <c r="GA148" s="214"/>
      <c r="GB148" s="214"/>
      <c r="GC148" s="214"/>
      <c r="GD148" s="214"/>
      <c r="GE148" s="214"/>
      <c r="GF148" s="214"/>
      <c r="GG148" s="214"/>
      <c r="GH148" s="214"/>
      <c r="GI148" s="214"/>
      <c r="GJ148" s="214"/>
      <c r="GK148" s="214"/>
      <c r="GL148" s="214"/>
      <c r="GM148" s="214"/>
      <c r="GN148" s="214"/>
      <c r="GO148" s="214"/>
      <c r="GP148" s="214"/>
      <c r="GQ148" s="214"/>
      <c r="GR148" s="214"/>
      <c r="GS148" s="214"/>
      <c r="GT148" s="214"/>
      <c r="GU148" s="214"/>
      <c r="GV148" s="214"/>
      <c r="GW148" s="214"/>
      <c r="GX148" s="214"/>
      <c r="GY148" s="214"/>
      <c r="GZ148" s="214"/>
      <c r="HA148" s="214"/>
      <c r="HB148" s="214"/>
      <c r="HC148" s="214"/>
      <c r="HD148" s="214"/>
      <c r="HE148" s="214"/>
      <c r="HF148" s="214"/>
      <c r="HG148" s="214"/>
      <c r="HH148" s="214"/>
      <c r="HI148" s="214"/>
      <c r="HJ148" s="214"/>
      <c r="HK148" s="214"/>
      <c r="HL148" s="214"/>
      <c r="HM148" s="214"/>
      <c r="HN148" s="214"/>
      <c r="HO148" s="214"/>
      <c r="HP148" s="214"/>
      <c r="HQ148" s="214"/>
      <c r="HR148" s="214"/>
      <c r="HS148" s="214"/>
      <c r="HT148" s="214"/>
      <c r="HU148" s="214"/>
      <c r="HV148" s="214"/>
      <c r="HW148" s="214"/>
      <c r="HX148" s="214"/>
      <c r="HY148" s="214"/>
      <c r="HZ148" s="214"/>
      <c r="IA148" s="214"/>
      <c r="IB148" s="214"/>
      <c r="IC148" s="214"/>
      <c r="ID148" s="214"/>
      <c r="IE148" s="214"/>
      <c r="IF148" s="214"/>
      <c r="IG148" s="214"/>
      <c r="IH148" s="214"/>
      <c r="II148" s="214"/>
      <c r="IJ148" s="214"/>
      <c r="IK148" s="214"/>
      <c r="IL148" s="214"/>
      <c r="IM148" s="214"/>
      <c r="IN148" s="214"/>
      <c r="IO148" s="214"/>
      <c r="IP148" s="214"/>
      <c r="IQ148" s="214"/>
      <c r="IR148" s="214"/>
      <c r="IS148" s="214"/>
      <c r="IT148" s="214"/>
      <c r="IU148" s="214"/>
      <c r="IV148" s="214"/>
      <c r="IW148" s="214"/>
      <c r="IX148" s="214"/>
      <c r="IY148" s="214"/>
      <c r="IZ148" s="214"/>
      <c r="JA148" s="214"/>
      <c r="JB148" s="214"/>
      <c r="JC148" s="214"/>
      <c r="JD148" s="214"/>
      <c r="JE148" s="214"/>
      <c r="JF148" s="214"/>
      <c r="JG148" s="214"/>
      <c r="JH148" s="214"/>
      <c r="JI148" s="214"/>
    </row>
    <row r="149" spans="1:269">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c r="CG149" s="214"/>
      <c r="CH149" s="214"/>
      <c r="CI149" s="214"/>
      <c r="CJ149" s="214"/>
      <c r="CK149" s="214"/>
      <c r="CL149" s="214"/>
      <c r="CM149" s="214"/>
      <c r="CN149" s="214"/>
      <c r="CO149" s="214"/>
      <c r="CP149" s="214"/>
      <c r="CQ149" s="214"/>
      <c r="CR149" s="214"/>
      <c r="CS149" s="214"/>
      <c r="CT149" s="214"/>
      <c r="CU149" s="214"/>
      <c r="CV149" s="214"/>
      <c r="CW149" s="214"/>
      <c r="CX149" s="214"/>
      <c r="CY149" s="214"/>
      <c r="CZ149" s="214"/>
      <c r="DA149" s="214"/>
      <c r="DB149" s="214"/>
      <c r="DC149" s="214"/>
      <c r="DD149" s="214"/>
      <c r="DE149" s="214"/>
      <c r="DF149" s="214"/>
      <c r="DG149" s="214"/>
      <c r="DH149" s="214"/>
      <c r="DI149" s="214"/>
      <c r="DJ149" s="214"/>
      <c r="DK149" s="214"/>
      <c r="DL149" s="214"/>
      <c r="DM149" s="214"/>
      <c r="DN149" s="214"/>
      <c r="DO149" s="214"/>
      <c r="DP149" s="214"/>
      <c r="DQ149" s="214"/>
      <c r="DR149" s="214"/>
      <c r="DS149" s="214"/>
      <c r="DT149" s="214"/>
      <c r="DU149" s="214"/>
      <c r="DV149" s="214"/>
      <c r="DW149" s="214"/>
      <c r="DX149" s="214"/>
      <c r="DY149" s="214"/>
      <c r="DZ149" s="214"/>
      <c r="EA149" s="214"/>
      <c r="EB149" s="214"/>
      <c r="EC149" s="214"/>
      <c r="ED149" s="214"/>
      <c r="EE149" s="214"/>
      <c r="EF149" s="214"/>
      <c r="EG149" s="214"/>
      <c r="EH149" s="214"/>
      <c r="EI149" s="214"/>
      <c r="EJ149" s="214"/>
      <c r="EK149" s="214"/>
      <c r="EL149" s="214"/>
      <c r="EM149" s="214"/>
      <c r="EN149" s="214"/>
      <c r="EO149" s="214"/>
      <c r="EP149" s="214"/>
      <c r="EQ149" s="214"/>
      <c r="ER149" s="214"/>
      <c r="ES149" s="214"/>
      <c r="ET149" s="214"/>
      <c r="EU149" s="214"/>
      <c r="EV149" s="214"/>
      <c r="EW149" s="214"/>
      <c r="EX149" s="214"/>
      <c r="EY149" s="214"/>
      <c r="EZ149" s="214"/>
      <c r="FA149" s="214"/>
      <c r="FB149" s="214"/>
      <c r="FC149" s="214"/>
      <c r="FD149" s="214"/>
      <c r="FE149" s="214"/>
      <c r="FF149" s="214"/>
      <c r="FG149" s="214"/>
      <c r="FH149" s="214"/>
      <c r="FI149" s="214"/>
      <c r="FJ149" s="214"/>
      <c r="FK149" s="214"/>
      <c r="FL149" s="214"/>
      <c r="FM149" s="214"/>
      <c r="FN149" s="214"/>
      <c r="FO149" s="214"/>
      <c r="FP149" s="214"/>
      <c r="FQ149" s="214"/>
      <c r="FR149" s="214"/>
      <c r="FS149" s="214"/>
      <c r="FT149" s="214"/>
      <c r="FU149" s="214"/>
      <c r="FV149" s="214"/>
      <c r="FW149" s="214"/>
      <c r="FX149" s="214"/>
      <c r="FY149" s="214"/>
      <c r="FZ149" s="214"/>
      <c r="GA149" s="214"/>
      <c r="GB149" s="214"/>
      <c r="GC149" s="214"/>
      <c r="GD149" s="214"/>
      <c r="GE149" s="214"/>
      <c r="GF149" s="214"/>
      <c r="GG149" s="214"/>
      <c r="GH149" s="214"/>
      <c r="GI149" s="214"/>
      <c r="GJ149" s="214"/>
      <c r="GK149" s="214"/>
      <c r="GL149" s="214"/>
      <c r="GM149" s="214"/>
      <c r="GN149" s="214"/>
      <c r="GO149" s="214"/>
      <c r="GP149" s="214"/>
      <c r="GQ149" s="214"/>
      <c r="GR149" s="214"/>
      <c r="GS149" s="214"/>
      <c r="GT149" s="214"/>
      <c r="GU149" s="214"/>
      <c r="GV149" s="214"/>
      <c r="GW149" s="214"/>
      <c r="GX149" s="214"/>
      <c r="GY149" s="214"/>
      <c r="GZ149" s="214"/>
      <c r="HA149" s="214"/>
      <c r="HB149" s="214"/>
      <c r="HC149" s="214"/>
      <c r="HD149" s="214"/>
      <c r="HE149" s="214"/>
      <c r="HF149" s="214"/>
      <c r="HG149" s="214"/>
      <c r="HH149" s="214"/>
      <c r="HI149" s="214"/>
      <c r="HJ149" s="214"/>
      <c r="HK149" s="214"/>
      <c r="HL149" s="214"/>
      <c r="HM149" s="214"/>
      <c r="HN149" s="214"/>
      <c r="HO149" s="214"/>
      <c r="HP149" s="214"/>
      <c r="HQ149" s="214"/>
      <c r="HR149" s="214"/>
      <c r="HS149" s="214"/>
      <c r="HT149" s="214"/>
      <c r="HU149" s="214"/>
      <c r="HV149" s="214"/>
      <c r="HW149" s="214"/>
      <c r="HX149" s="214"/>
      <c r="HY149" s="214"/>
      <c r="HZ149" s="214"/>
      <c r="IA149" s="214"/>
      <c r="IB149" s="214"/>
      <c r="IC149" s="214"/>
      <c r="ID149" s="214"/>
      <c r="IE149" s="214"/>
      <c r="IF149" s="214"/>
      <c r="IG149" s="214"/>
      <c r="IH149" s="214"/>
      <c r="II149" s="214"/>
      <c r="IJ149" s="214"/>
      <c r="IK149" s="214"/>
      <c r="IL149" s="214"/>
      <c r="IM149" s="214"/>
      <c r="IN149" s="214"/>
      <c r="IO149" s="214"/>
      <c r="IP149" s="214"/>
      <c r="IQ149" s="214"/>
      <c r="IR149" s="214"/>
      <c r="IS149" s="214"/>
      <c r="IT149" s="214"/>
      <c r="IU149" s="214"/>
      <c r="IV149" s="214"/>
      <c r="IW149" s="214"/>
      <c r="IX149" s="214"/>
      <c r="IY149" s="214"/>
      <c r="IZ149" s="214"/>
      <c r="JA149" s="214"/>
      <c r="JB149" s="214"/>
      <c r="JC149" s="214"/>
      <c r="JD149" s="214"/>
      <c r="JE149" s="214"/>
      <c r="JF149" s="214"/>
      <c r="JG149" s="214"/>
      <c r="JH149" s="214"/>
      <c r="JI149" s="214"/>
    </row>
    <row r="150" spans="1:269">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c r="CG150" s="214"/>
      <c r="CH150" s="214"/>
      <c r="CI150" s="214"/>
      <c r="CJ150" s="214"/>
      <c r="CK150" s="214"/>
      <c r="CL150" s="214"/>
      <c r="CM150" s="214"/>
      <c r="CN150" s="214"/>
      <c r="CO150" s="214"/>
      <c r="CP150" s="214"/>
      <c r="CQ150" s="214"/>
      <c r="CR150" s="214"/>
      <c r="CS150" s="214"/>
      <c r="CT150" s="214"/>
      <c r="CU150" s="214"/>
      <c r="CV150" s="214"/>
      <c r="CW150" s="214"/>
      <c r="CX150" s="214"/>
      <c r="CY150" s="214"/>
      <c r="CZ150" s="214"/>
      <c r="DA150" s="214"/>
      <c r="DB150" s="214"/>
      <c r="DC150" s="214"/>
      <c r="DD150" s="214"/>
      <c r="DE150" s="214"/>
      <c r="DF150" s="214"/>
      <c r="DG150" s="214"/>
      <c r="DH150" s="214"/>
      <c r="DI150" s="214"/>
      <c r="DJ150" s="214"/>
      <c r="DK150" s="214"/>
      <c r="DL150" s="214"/>
      <c r="DM150" s="214"/>
      <c r="DN150" s="214"/>
      <c r="DO150" s="214"/>
      <c r="DP150" s="214"/>
      <c r="DQ150" s="214"/>
      <c r="DR150" s="214"/>
      <c r="DS150" s="214"/>
      <c r="DT150" s="214"/>
      <c r="DU150" s="214"/>
      <c r="DV150" s="214"/>
      <c r="DW150" s="214"/>
      <c r="DX150" s="214"/>
      <c r="DY150" s="214"/>
      <c r="DZ150" s="214"/>
      <c r="EA150" s="214"/>
      <c r="EB150" s="214"/>
      <c r="EC150" s="214"/>
      <c r="ED150" s="214"/>
      <c r="EE150" s="214"/>
      <c r="EF150" s="214"/>
      <c r="EG150" s="214"/>
      <c r="EH150" s="214"/>
      <c r="EI150" s="214"/>
      <c r="EJ150" s="214"/>
      <c r="EK150" s="214"/>
      <c r="EL150" s="214"/>
      <c r="EM150" s="214"/>
      <c r="EN150" s="214"/>
      <c r="EO150" s="214"/>
      <c r="EP150" s="214"/>
      <c r="EQ150" s="214"/>
      <c r="ER150" s="214"/>
      <c r="ES150" s="214"/>
      <c r="ET150" s="214"/>
      <c r="EU150" s="214"/>
      <c r="EV150" s="214"/>
      <c r="EW150" s="214"/>
      <c r="EX150" s="214"/>
      <c r="EY150" s="214"/>
      <c r="EZ150" s="214"/>
      <c r="FA150" s="214"/>
      <c r="FB150" s="214"/>
      <c r="FC150" s="214"/>
      <c r="FD150" s="214"/>
      <c r="FE150" s="214"/>
      <c r="FF150" s="214"/>
      <c r="FG150" s="214"/>
      <c r="FH150" s="214"/>
      <c r="FI150" s="214"/>
      <c r="FJ150" s="214"/>
      <c r="FK150" s="214"/>
      <c r="FL150" s="214"/>
      <c r="FM150" s="214"/>
      <c r="FN150" s="214"/>
      <c r="FO150" s="214"/>
      <c r="FP150" s="214"/>
      <c r="FQ150" s="214"/>
      <c r="FR150" s="214"/>
      <c r="FS150" s="214"/>
      <c r="FT150" s="214"/>
      <c r="FU150" s="214"/>
      <c r="FV150" s="214"/>
      <c r="FW150" s="214"/>
      <c r="FX150" s="214"/>
      <c r="FY150" s="214"/>
      <c r="FZ150" s="214"/>
      <c r="GA150" s="214"/>
      <c r="GB150" s="214"/>
      <c r="GC150" s="214"/>
      <c r="GD150" s="214"/>
      <c r="GE150" s="214"/>
      <c r="GF150" s="214"/>
      <c r="GG150" s="214"/>
      <c r="GH150" s="214"/>
      <c r="GI150" s="214"/>
      <c r="GJ150" s="214"/>
      <c r="GK150" s="214"/>
      <c r="GL150" s="214"/>
      <c r="GM150" s="214"/>
      <c r="GN150" s="214"/>
      <c r="GO150" s="214"/>
      <c r="GP150" s="214"/>
      <c r="GQ150" s="214"/>
      <c r="GR150" s="214"/>
      <c r="GS150" s="214"/>
      <c r="GT150" s="214"/>
      <c r="GU150" s="214"/>
      <c r="GV150" s="214"/>
      <c r="GW150" s="214"/>
      <c r="GX150" s="214"/>
      <c r="GY150" s="214"/>
      <c r="GZ150" s="214"/>
      <c r="HA150" s="214"/>
      <c r="HB150" s="214"/>
      <c r="HC150" s="214"/>
      <c r="HD150" s="214"/>
      <c r="HE150" s="214"/>
      <c r="HF150" s="214"/>
      <c r="HG150" s="214"/>
      <c r="HH150" s="214"/>
      <c r="HI150" s="214"/>
      <c r="HJ150" s="214"/>
      <c r="HK150" s="214"/>
      <c r="HL150" s="214"/>
      <c r="HM150" s="214"/>
      <c r="HN150" s="214"/>
      <c r="HO150" s="214"/>
      <c r="HP150" s="214"/>
      <c r="HQ150" s="214"/>
      <c r="HR150" s="214"/>
      <c r="HS150" s="214"/>
      <c r="HT150" s="214"/>
      <c r="HU150" s="214"/>
      <c r="HV150" s="214"/>
      <c r="HW150" s="214"/>
      <c r="HX150" s="214"/>
      <c r="HY150" s="214"/>
      <c r="HZ150" s="214"/>
      <c r="IA150" s="214"/>
      <c r="IB150" s="214"/>
      <c r="IC150" s="214"/>
      <c r="ID150" s="214"/>
      <c r="IE150" s="214"/>
      <c r="IF150" s="214"/>
      <c r="IG150" s="214"/>
      <c r="IH150" s="214"/>
      <c r="II150" s="214"/>
      <c r="IJ150" s="214"/>
      <c r="IK150" s="214"/>
      <c r="IL150" s="214"/>
      <c r="IM150" s="214"/>
      <c r="IN150" s="214"/>
      <c r="IO150" s="214"/>
      <c r="IP150" s="214"/>
      <c r="IQ150" s="214"/>
      <c r="IR150" s="214"/>
      <c r="IS150" s="214"/>
      <c r="IT150" s="214"/>
      <c r="IU150" s="214"/>
      <c r="IV150" s="214"/>
      <c r="IW150" s="214"/>
      <c r="IX150" s="214"/>
      <c r="IY150" s="214"/>
      <c r="IZ150" s="214"/>
      <c r="JA150" s="214"/>
      <c r="JB150" s="214"/>
      <c r="JC150" s="214"/>
      <c r="JD150" s="214"/>
      <c r="JE150" s="214"/>
      <c r="JF150" s="214"/>
      <c r="JG150" s="214"/>
      <c r="JH150" s="214"/>
      <c r="JI150" s="214"/>
    </row>
    <row r="151" spans="1:269">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c r="CG151" s="214"/>
      <c r="CH151" s="214"/>
      <c r="CI151" s="214"/>
      <c r="CJ151" s="214"/>
      <c r="CK151" s="214"/>
      <c r="CL151" s="214"/>
      <c r="CM151" s="214"/>
      <c r="CN151" s="214"/>
      <c r="CO151" s="214"/>
      <c r="CP151" s="214"/>
      <c r="CQ151" s="214"/>
      <c r="CR151" s="214"/>
      <c r="CS151" s="214"/>
      <c r="CT151" s="214"/>
      <c r="CU151" s="214"/>
      <c r="CV151" s="214"/>
      <c r="CW151" s="214"/>
      <c r="CX151" s="214"/>
      <c r="CY151" s="214"/>
      <c r="CZ151" s="214"/>
      <c r="DA151" s="214"/>
      <c r="DB151" s="214"/>
      <c r="DC151" s="214"/>
      <c r="DD151" s="214"/>
      <c r="DE151" s="214"/>
      <c r="DF151" s="214"/>
      <c r="DG151" s="214"/>
      <c r="DH151" s="214"/>
      <c r="DI151" s="214"/>
      <c r="DJ151" s="214"/>
      <c r="DK151" s="214"/>
      <c r="DL151" s="214"/>
      <c r="DM151" s="214"/>
      <c r="DN151" s="214"/>
      <c r="DO151" s="214"/>
      <c r="DP151" s="214"/>
      <c r="DQ151" s="214"/>
      <c r="DR151" s="214"/>
      <c r="DS151" s="214"/>
      <c r="DT151" s="214"/>
      <c r="DU151" s="214"/>
      <c r="DV151" s="214"/>
      <c r="DW151" s="214"/>
      <c r="DX151" s="214"/>
      <c r="DY151" s="214"/>
      <c r="DZ151" s="214"/>
      <c r="EA151" s="214"/>
      <c r="EB151" s="214"/>
      <c r="EC151" s="214"/>
      <c r="ED151" s="214"/>
      <c r="EE151" s="214"/>
      <c r="EF151" s="214"/>
      <c r="EG151" s="214"/>
      <c r="EH151" s="214"/>
      <c r="EI151" s="214"/>
      <c r="EJ151" s="214"/>
      <c r="EK151" s="214"/>
      <c r="EL151" s="214"/>
      <c r="EM151" s="214"/>
      <c r="EN151" s="214"/>
      <c r="EO151" s="214"/>
      <c r="EP151" s="214"/>
      <c r="EQ151" s="214"/>
      <c r="ER151" s="214"/>
      <c r="ES151" s="214"/>
      <c r="ET151" s="214"/>
      <c r="EU151" s="214"/>
      <c r="EV151" s="214"/>
      <c r="EW151" s="214"/>
      <c r="EX151" s="214"/>
      <c r="EY151" s="214"/>
      <c r="EZ151" s="214"/>
      <c r="FA151" s="214"/>
      <c r="FB151" s="214"/>
      <c r="FC151" s="214"/>
      <c r="FD151" s="214"/>
      <c r="FE151" s="214"/>
      <c r="FF151" s="214"/>
      <c r="FG151" s="214"/>
      <c r="FH151" s="214"/>
      <c r="FI151" s="214"/>
      <c r="FJ151" s="214"/>
      <c r="FK151" s="214"/>
      <c r="FL151" s="214"/>
      <c r="FM151" s="214"/>
      <c r="FN151" s="214"/>
      <c r="FO151" s="214"/>
      <c r="FP151" s="214"/>
      <c r="FQ151" s="214"/>
      <c r="FR151" s="214"/>
      <c r="FS151" s="214"/>
      <c r="FT151" s="214"/>
      <c r="FU151" s="214"/>
      <c r="FV151" s="214"/>
      <c r="FW151" s="214"/>
      <c r="FX151" s="214"/>
      <c r="FY151" s="214"/>
      <c r="FZ151" s="214"/>
      <c r="GA151" s="214"/>
      <c r="GB151" s="214"/>
      <c r="GC151" s="214"/>
      <c r="GD151" s="214"/>
      <c r="GE151" s="214"/>
      <c r="GF151" s="214"/>
      <c r="GG151" s="214"/>
      <c r="GH151" s="214"/>
      <c r="GI151" s="214"/>
      <c r="GJ151" s="214"/>
      <c r="GK151" s="214"/>
      <c r="GL151" s="214"/>
      <c r="GM151" s="214"/>
      <c r="GN151" s="214"/>
      <c r="GO151" s="214"/>
      <c r="GP151" s="214"/>
      <c r="GQ151" s="214"/>
      <c r="GR151" s="214"/>
      <c r="GS151" s="214"/>
      <c r="GT151" s="214"/>
      <c r="GU151" s="214"/>
      <c r="GV151" s="214"/>
      <c r="GW151" s="214"/>
      <c r="GX151" s="214"/>
      <c r="GY151" s="214"/>
      <c r="GZ151" s="214"/>
      <c r="HA151" s="214"/>
      <c r="HB151" s="214"/>
      <c r="HC151" s="214"/>
      <c r="HD151" s="214"/>
      <c r="HE151" s="214"/>
      <c r="HF151" s="214"/>
      <c r="HG151" s="214"/>
      <c r="HH151" s="214"/>
      <c r="HI151" s="214"/>
      <c r="HJ151" s="214"/>
      <c r="HK151" s="214"/>
      <c r="HL151" s="214"/>
      <c r="HM151" s="214"/>
      <c r="HN151" s="214"/>
      <c r="HO151" s="214"/>
      <c r="HP151" s="214"/>
      <c r="HQ151" s="214"/>
      <c r="HR151" s="214"/>
      <c r="HS151" s="214"/>
      <c r="HT151" s="214"/>
      <c r="HU151" s="214"/>
      <c r="HV151" s="214"/>
      <c r="HW151" s="214"/>
      <c r="HX151" s="214"/>
      <c r="HY151" s="214"/>
      <c r="HZ151" s="214"/>
      <c r="IA151" s="214"/>
      <c r="IB151" s="214"/>
      <c r="IC151" s="214"/>
      <c r="ID151" s="214"/>
      <c r="IE151" s="214"/>
      <c r="IF151" s="214"/>
      <c r="IG151" s="214"/>
      <c r="IH151" s="214"/>
      <c r="II151" s="214"/>
      <c r="IJ151" s="214"/>
      <c r="IK151" s="214"/>
      <c r="IL151" s="214"/>
      <c r="IM151" s="214"/>
      <c r="IN151" s="214"/>
      <c r="IO151" s="214"/>
      <c r="IP151" s="214"/>
      <c r="IQ151" s="214"/>
      <c r="IR151" s="214"/>
      <c r="IS151" s="214"/>
      <c r="IT151" s="214"/>
      <c r="IU151" s="214"/>
      <c r="IV151" s="214"/>
      <c r="IW151" s="214"/>
      <c r="IX151" s="214"/>
      <c r="IY151" s="214"/>
      <c r="IZ151" s="214"/>
      <c r="JA151" s="214"/>
      <c r="JB151" s="214"/>
      <c r="JC151" s="214"/>
      <c r="JD151" s="214"/>
      <c r="JE151" s="214"/>
      <c r="JF151" s="214"/>
      <c r="JG151" s="214"/>
      <c r="JH151" s="214"/>
      <c r="JI151" s="214"/>
    </row>
    <row r="152" spans="1:269">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c r="CG152" s="214"/>
      <c r="CH152" s="214"/>
      <c r="CI152" s="214"/>
      <c r="CJ152" s="214"/>
      <c r="CK152" s="214"/>
      <c r="CL152" s="214"/>
      <c r="CM152" s="214"/>
      <c r="CN152" s="214"/>
      <c r="CO152" s="214"/>
      <c r="CP152" s="214"/>
      <c r="CQ152" s="214"/>
      <c r="CR152" s="214"/>
      <c r="CS152" s="214"/>
      <c r="CT152" s="214"/>
      <c r="CU152" s="214"/>
      <c r="CV152" s="214"/>
      <c r="CW152" s="214"/>
      <c r="CX152" s="214"/>
      <c r="CY152" s="214"/>
      <c r="CZ152" s="214"/>
      <c r="DA152" s="214"/>
      <c r="DB152" s="214"/>
      <c r="DC152" s="214"/>
      <c r="DD152" s="214"/>
      <c r="DE152" s="214"/>
      <c r="DF152" s="214"/>
      <c r="DG152" s="214"/>
      <c r="DH152" s="214"/>
      <c r="DI152" s="214"/>
      <c r="DJ152" s="214"/>
      <c r="DK152" s="214"/>
      <c r="DL152" s="214"/>
      <c r="DM152" s="214"/>
      <c r="DN152" s="214"/>
      <c r="DO152" s="214"/>
      <c r="DP152" s="214"/>
      <c r="DQ152" s="214"/>
      <c r="DR152" s="214"/>
      <c r="DS152" s="214"/>
      <c r="DT152" s="214"/>
      <c r="DU152" s="214"/>
      <c r="DV152" s="214"/>
      <c r="DW152" s="214"/>
      <c r="DX152" s="214"/>
      <c r="DY152" s="214"/>
      <c r="DZ152" s="214"/>
      <c r="EA152" s="214"/>
      <c r="EB152" s="214"/>
      <c r="EC152" s="214"/>
      <c r="ED152" s="214"/>
      <c r="EE152" s="214"/>
      <c r="EF152" s="214"/>
      <c r="EG152" s="214"/>
      <c r="EH152" s="214"/>
      <c r="EI152" s="214"/>
      <c r="EJ152" s="214"/>
      <c r="EK152" s="214"/>
      <c r="EL152" s="214"/>
      <c r="EM152" s="214"/>
      <c r="EN152" s="214"/>
      <c r="EO152" s="214"/>
      <c r="EP152" s="214"/>
      <c r="EQ152" s="214"/>
      <c r="ER152" s="214"/>
      <c r="ES152" s="214"/>
      <c r="ET152" s="214"/>
      <c r="EU152" s="214"/>
      <c r="EV152" s="214"/>
      <c r="EW152" s="214"/>
      <c r="EX152" s="214"/>
      <c r="EY152" s="214"/>
      <c r="EZ152" s="214"/>
      <c r="FA152" s="214"/>
      <c r="FB152" s="214"/>
      <c r="FC152" s="214"/>
      <c r="FD152" s="214"/>
      <c r="FE152" s="214"/>
      <c r="FF152" s="214"/>
      <c r="FG152" s="214"/>
      <c r="FH152" s="214"/>
      <c r="FI152" s="214"/>
      <c r="FJ152" s="214"/>
      <c r="FK152" s="214"/>
      <c r="FL152" s="214"/>
      <c r="FM152" s="214"/>
      <c r="FN152" s="214"/>
      <c r="FO152" s="214"/>
      <c r="FP152" s="214"/>
      <c r="FQ152" s="214"/>
      <c r="FR152" s="214"/>
      <c r="FS152" s="214"/>
      <c r="FT152" s="214"/>
      <c r="FU152" s="214"/>
      <c r="FV152" s="214"/>
      <c r="FW152" s="214"/>
      <c r="FX152" s="214"/>
      <c r="FY152" s="214"/>
      <c r="FZ152" s="214"/>
      <c r="GA152" s="214"/>
      <c r="GB152" s="214"/>
      <c r="GC152" s="214"/>
      <c r="GD152" s="214"/>
      <c r="GE152" s="214"/>
      <c r="GF152" s="214"/>
      <c r="GG152" s="214"/>
      <c r="GH152" s="214"/>
      <c r="GI152" s="214"/>
      <c r="GJ152" s="214"/>
      <c r="GK152" s="214"/>
      <c r="GL152" s="214"/>
      <c r="GM152" s="214"/>
      <c r="GN152" s="214"/>
      <c r="GO152" s="214"/>
      <c r="GP152" s="214"/>
      <c r="GQ152" s="214"/>
      <c r="GR152" s="214"/>
      <c r="GS152" s="214"/>
      <c r="GT152" s="214"/>
      <c r="GU152" s="214"/>
      <c r="GV152" s="214"/>
      <c r="GW152" s="214"/>
      <c r="GX152" s="214"/>
      <c r="GY152" s="214"/>
      <c r="GZ152" s="214"/>
      <c r="HA152" s="214"/>
      <c r="HB152" s="214"/>
      <c r="HC152" s="214"/>
      <c r="HD152" s="214"/>
      <c r="HE152" s="214"/>
      <c r="HF152" s="214"/>
      <c r="HG152" s="214"/>
      <c r="HH152" s="214"/>
      <c r="HI152" s="214"/>
      <c r="HJ152" s="214"/>
      <c r="HK152" s="214"/>
      <c r="HL152" s="214"/>
      <c r="HM152" s="214"/>
      <c r="HN152" s="214"/>
      <c r="HO152" s="214"/>
      <c r="HP152" s="214"/>
      <c r="HQ152" s="214"/>
      <c r="HR152" s="214"/>
      <c r="HS152" s="214"/>
      <c r="HT152" s="214"/>
      <c r="HU152" s="214"/>
      <c r="HV152" s="214"/>
      <c r="HW152" s="214"/>
      <c r="HX152" s="214"/>
      <c r="HY152" s="214"/>
      <c r="HZ152" s="214"/>
      <c r="IA152" s="214"/>
      <c r="IB152" s="214"/>
      <c r="IC152" s="214"/>
      <c r="ID152" s="214"/>
      <c r="IE152" s="214"/>
      <c r="IF152" s="214"/>
      <c r="IG152" s="214"/>
      <c r="IH152" s="214"/>
      <c r="II152" s="214"/>
      <c r="IJ152" s="214"/>
      <c r="IK152" s="214"/>
      <c r="IL152" s="214"/>
      <c r="IM152" s="214"/>
      <c r="IN152" s="214"/>
      <c r="IO152" s="214"/>
      <c r="IP152" s="214"/>
      <c r="IQ152" s="214"/>
      <c r="IR152" s="214"/>
      <c r="IS152" s="214"/>
      <c r="IT152" s="214"/>
      <c r="IU152" s="214"/>
      <c r="IV152" s="214"/>
      <c r="IW152" s="214"/>
      <c r="IX152" s="214"/>
      <c r="IY152" s="214"/>
      <c r="IZ152" s="214"/>
      <c r="JA152" s="214"/>
      <c r="JB152" s="214"/>
      <c r="JC152" s="214"/>
      <c r="JD152" s="214"/>
      <c r="JE152" s="214"/>
      <c r="JF152" s="214"/>
      <c r="JG152" s="214"/>
      <c r="JH152" s="214"/>
      <c r="JI152" s="214"/>
    </row>
    <row r="153" spans="1:269">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c r="CG153" s="214"/>
      <c r="CH153" s="214"/>
      <c r="CI153" s="214"/>
      <c r="CJ153" s="214"/>
      <c r="CK153" s="214"/>
      <c r="CL153" s="214"/>
      <c r="CM153" s="214"/>
      <c r="CN153" s="214"/>
      <c r="CO153" s="214"/>
      <c r="CP153" s="214"/>
      <c r="CQ153" s="214"/>
      <c r="CR153" s="214"/>
      <c r="CS153" s="214"/>
      <c r="CT153" s="214"/>
      <c r="CU153" s="214"/>
      <c r="CV153" s="214"/>
      <c r="CW153" s="214"/>
      <c r="CX153" s="214"/>
      <c r="CY153" s="214"/>
      <c r="CZ153" s="214"/>
      <c r="DA153" s="214"/>
      <c r="DB153" s="214"/>
      <c r="DC153" s="214"/>
      <c r="DD153" s="214"/>
      <c r="DE153" s="214"/>
      <c r="DF153" s="214"/>
      <c r="DG153" s="214"/>
      <c r="DH153" s="214"/>
      <c r="DI153" s="214"/>
      <c r="DJ153" s="214"/>
      <c r="DK153" s="214"/>
      <c r="DL153" s="214"/>
      <c r="DM153" s="214"/>
      <c r="DN153" s="214"/>
      <c r="DO153" s="214"/>
      <c r="DP153" s="214"/>
      <c r="DQ153" s="214"/>
      <c r="DR153" s="214"/>
      <c r="DS153" s="214"/>
      <c r="DT153" s="214"/>
      <c r="DU153" s="214"/>
      <c r="DV153" s="214"/>
      <c r="DW153" s="214"/>
      <c r="DX153" s="214"/>
      <c r="DY153" s="214"/>
      <c r="DZ153" s="214"/>
      <c r="EA153" s="214"/>
      <c r="EB153" s="214"/>
      <c r="EC153" s="214"/>
      <c r="ED153" s="214"/>
      <c r="EE153" s="214"/>
      <c r="EF153" s="214"/>
      <c r="EG153" s="214"/>
      <c r="EH153" s="214"/>
      <c r="EI153" s="214"/>
      <c r="EJ153" s="214"/>
      <c r="EK153" s="214"/>
      <c r="EL153" s="214"/>
      <c r="EM153" s="214"/>
      <c r="EN153" s="214"/>
      <c r="EO153" s="214"/>
      <c r="EP153" s="214"/>
      <c r="EQ153" s="214"/>
      <c r="ER153" s="214"/>
      <c r="ES153" s="214"/>
      <c r="ET153" s="214"/>
      <c r="EU153" s="214"/>
      <c r="EV153" s="214"/>
      <c r="EW153" s="214"/>
      <c r="EX153" s="214"/>
      <c r="EY153" s="214"/>
      <c r="EZ153" s="214"/>
      <c r="FA153" s="214"/>
      <c r="FB153" s="214"/>
      <c r="FC153" s="214"/>
      <c r="FD153" s="214"/>
      <c r="FE153" s="214"/>
      <c r="FF153" s="214"/>
      <c r="FG153" s="214"/>
      <c r="FH153" s="214"/>
      <c r="FI153" s="214"/>
      <c r="FJ153" s="214"/>
      <c r="FK153" s="214"/>
      <c r="FL153" s="214"/>
      <c r="FM153" s="214"/>
      <c r="FN153" s="214"/>
      <c r="FO153" s="214"/>
      <c r="FP153" s="214"/>
      <c r="FQ153" s="214"/>
      <c r="FR153" s="214"/>
      <c r="FS153" s="214"/>
      <c r="FT153" s="214"/>
      <c r="FU153" s="214"/>
      <c r="FV153" s="214"/>
      <c r="FW153" s="214"/>
      <c r="FX153" s="214"/>
      <c r="FY153" s="214"/>
      <c r="FZ153" s="214"/>
      <c r="GA153" s="214"/>
      <c r="GB153" s="214"/>
      <c r="GC153" s="214"/>
      <c r="GD153" s="214"/>
      <c r="GE153" s="214"/>
      <c r="GF153" s="214"/>
      <c r="GG153" s="214"/>
      <c r="GH153" s="214"/>
      <c r="GI153" s="214"/>
      <c r="GJ153" s="214"/>
      <c r="GK153" s="214"/>
      <c r="GL153" s="214"/>
      <c r="GM153" s="214"/>
      <c r="GN153" s="214"/>
      <c r="GO153" s="214"/>
      <c r="GP153" s="214"/>
      <c r="GQ153" s="214"/>
      <c r="GR153" s="214"/>
      <c r="GS153" s="214"/>
      <c r="GT153" s="214"/>
      <c r="GU153" s="214"/>
      <c r="GV153" s="214"/>
      <c r="GW153" s="214"/>
      <c r="GX153" s="214"/>
      <c r="GY153" s="214"/>
      <c r="GZ153" s="214"/>
      <c r="HA153" s="214"/>
      <c r="HB153" s="214"/>
      <c r="HC153" s="214"/>
      <c r="HD153" s="214"/>
      <c r="HE153" s="214"/>
      <c r="HF153" s="214"/>
      <c r="HG153" s="214"/>
      <c r="HH153" s="214"/>
      <c r="HI153" s="214"/>
      <c r="HJ153" s="214"/>
      <c r="HK153" s="214"/>
      <c r="HL153" s="214"/>
      <c r="HM153" s="214"/>
      <c r="HN153" s="214"/>
      <c r="HO153" s="214"/>
      <c r="HP153" s="214"/>
      <c r="HQ153" s="214"/>
      <c r="HR153" s="214"/>
      <c r="HS153" s="214"/>
      <c r="HT153" s="214"/>
      <c r="HU153" s="214"/>
      <c r="HV153" s="214"/>
      <c r="HW153" s="214"/>
      <c r="HX153" s="214"/>
      <c r="HY153" s="214"/>
      <c r="HZ153" s="214"/>
      <c r="IA153" s="214"/>
      <c r="IB153" s="214"/>
      <c r="IC153" s="214"/>
      <c r="ID153" s="214"/>
      <c r="IE153" s="214"/>
      <c r="IF153" s="214"/>
      <c r="IG153" s="214"/>
      <c r="IH153" s="214"/>
      <c r="II153" s="214"/>
      <c r="IJ153" s="214"/>
      <c r="IK153" s="214"/>
      <c r="IL153" s="214"/>
      <c r="IM153" s="214"/>
      <c r="IN153" s="214"/>
      <c r="IO153" s="214"/>
      <c r="IP153" s="214"/>
      <c r="IQ153" s="214"/>
      <c r="IR153" s="214"/>
      <c r="IS153" s="214"/>
      <c r="IT153" s="214"/>
      <c r="IU153" s="214"/>
      <c r="IV153" s="214"/>
      <c r="IW153" s="214"/>
      <c r="IX153" s="214"/>
      <c r="IY153" s="214"/>
      <c r="IZ153" s="214"/>
      <c r="JA153" s="214"/>
      <c r="JB153" s="214"/>
      <c r="JC153" s="214"/>
      <c r="JD153" s="214"/>
      <c r="JE153" s="214"/>
      <c r="JF153" s="214"/>
      <c r="JG153" s="214"/>
      <c r="JH153" s="214"/>
      <c r="JI153" s="214"/>
    </row>
    <row r="154" spans="1:269">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c r="CG154" s="214"/>
      <c r="CH154" s="214"/>
      <c r="CI154" s="214"/>
      <c r="CJ154" s="214"/>
      <c r="CK154" s="214"/>
      <c r="CL154" s="214"/>
      <c r="CM154" s="214"/>
      <c r="CN154" s="214"/>
      <c r="CO154" s="214"/>
      <c r="CP154" s="214"/>
      <c r="CQ154" s="214"/>
      <c r="CR154" s="214"/>
      <c r="CS154" s="214"/>
      <c r="CT154" s="214"/>
      <c r="CU154" s="214"/>
      <c r="CV154" s="214"/>
      <c r="CW154" s="214"/>
      <c r="CX154" s="214"/>
      <c r="CY154" s="214"/>
      <c r="CZ154" s="214"/>
      <c r="DA154" s="214"/>
      <c r="DB154" s="214"/>
      <c r="DC154" s="214"/>
      <c r="DD154" s="214"/>
      <c r="DE154" s="214"/>
      <c r="DF154" s="214"/>
      <c r="DG154" s="214"/>
      <c r="DH154" s="214"/>
      <c r="DI154" s="214"/>
      <c r="DJ154" s="214"/>
      <c r="DK154" s="214"/>
      <c r="DL154" s="214"/>
      <c r="DM154" s="214"/>
      <c r="DN154" s="214"/>
      <c r="DO154" s="214"/>
      <c r="DP154" s="214"/>
      <c r="DQ154" s="214"/>
      <c r="DR154" s="214"/>
      <c r="DS154" s="214"/>
      <c r="DT154" s="214"/>
      <c r="DU154" s="214"/>
      <c r="DV154" s="214"/>
      <c r="DW154" s="214"/>
      <c r="DX154" s="214"/>
      <c r="DY154" s="214"/>
      <c r="DZ154" s="214"/>
      <c r="EA154" s="214"/>
      <c r="EB154" s="214"/>
      <c r="EC154" s="214"/>
      <c r="ED154" s="214"/>
      <c r="EE154" s="214"/>
      <c r="EF154" s="214"/>
      <c r="EG154" s="214"/>
      <c r="EH154" s="214"/>
      <c r="EI154" s="214"/>
      <c r="EJ154" s="214"/>
      <c r="EK154" s="214"/>
      <c r="EL154" s="214"/>
      <c r="EM154" s="214"/>
      <c r="EN154" s="214"/>
      <c r="EO154" s="214"/>
      <c r="EP154" s="214"/>
      <c r="EQ154" s="214"/>
      <c r="ER154" s="214"/>
      <c r="ES154" s="214"/>
      <c r="ET154" s="214"/>
      <c r="EU154" s="214"/>
      <c r="EV154" s="214"/>
      <c r="EW154" s="214"/>
      <c r="EX154" s="214"/>
      <c r="EY154" s="214"/>
      <c r="EZ154" s="214"/>
      <c r="FA154" s="214"/>
      <c r="FB154" s="214"/>
      <c r="FC154" s="214"/>
      <c r="FD154" s="214"/>
      <c r="FE154" s="214"/>
      <c r="FF154" s="214"/>
      <c r="FG154" s="214"/>
      <c r="FH154" s="214"/>
      <c r="FI154" s="214"/>
      <c r="FJ154" s="214"/>
      <c r="FK154" s="214"/>
      <c r="FL154" s="214"/>
      <c r="FM154" s="214"/>
      <c r="FN154" s="214"/>
      <c r="FO154" s="214"/>
      <c r="FP154" s="214"/>
      <c r="FQ154" s="214"/>
      <c r="FR154" s="214"/>
      <c r="FS154" s="214"/>
      <c r="FT154" s="214"/>
      <c r="FU154" s="214"/>
      <c r="FV154" s="214"/>
      <c r="FW154" s="214"/>
      <c r="FX154" s="214"/>
      <c r="FY154" s="214"/>
      <c r="FZ154" s="214"/>
      <c r="GA154" s="214"/>
      <c r="GB154" s="214"/>
      <c r="GC154" s="214"/>
      <c r="GD154" s="214"/>
      <c r="GE154" s="214"/>
      <c r="GF154" s="214"/>
      <c r="GG154" s="214"/>
      <c r="GH154" s="214"/>
      <c r="GI154" s="214"/>
      <c r="GJ154" s="214"/>
      <c r="GK154" s="214"/>
      <c r="GL154" s="214"/>
      <c r="GM154" s="214"/>
      <c r="GN154" s="214"/>
      <c r="GO154" s="214"/>
      <c r="GP154" s="214"/>
      <c r="GQ154" s="214"/>
      <c r="GR154" s="214"/>
      <c r="GS154" s="214"/>
      <c r="GT154" s="214"/>
      <c r="GU154" s="214"/>
      <c r="GV154" s="214"/>
      <c r="GW154" s="214"/>
      <c r="GX154" s="214"/>
      <c r="GY154" s="214"/>
      <c r="GZ154" s="214"/>
      <c r="HA154" s="214"/>
      <c r="HB154" s="214"/>
      <c r="HC154" s="214"/>
      <c r="HD154" s="214"/>
      <c r="HE154" s="214"/>
      <c r="HF154" s="214"/>
      <c r="HG154" s="214"/>
      <c r="HH154" s="214"/>
      <c r="HI154" s="214"/>
      <c r="HJ154" s="214"/>
      <c r="HK154" s="214"/>
      <c r="HL154" s="214"/>
      <c r="HM154" s="214"/>
      <c r="HN154" s="214"/>
      <c r="HO154" s="214"/>
      <c r="HP154" s="214"/>
      <c r="HQ154" s="214"/>
      <c r="HR154" s="214"/>
      <c r="HS154" s="214"/>
      <c r="HT154" s="214"/>
      <c r="HU154" s="214"/>
      <c r="HV154" s="214"/>
      <c r="HW154" s="214"/>
      <c r="HX154" s="214"/>
      <c r="HY154" s="214"/>
      <c r="HZ154" s="214"/>
      <c r="IA154" s="214"/>
      <c r="IB154" s="214"/>
      <c r="IC154" s="214"/>
      <c r="ID154" s="214"/>
      <c r="IE154" s="214"/>
      <c r="IF154" s="214"/>
      <c r="IG154" s="214"/>
      <c r="IH154" s="214"/>
      <c r="II154" s="214"/>
      <c r="IJ154" s="214"/>
      <c r="IK154" s="214"/>
      <c r="IL154" s="214"/>
      <c r="IM154" s="214"/>
      <c r="IN154" s="214"/>
      <c r="IO154" s="214"/>
      <c r="IP154" s="214"/>
      <c r="IQ154" s="214"/>
      <c r="IR154" s="214"/>
      <c r="IS154" s="214"/>
      <c r="IT154" s="214"/>
      <c r="IU154" s="214"/>
      <c r="IV154" s="214"/>
      <c r="IW154" s="214"/>
      <c r="IX154" s="214"/>
      <c r="IY154" s="214"/>
      <c r="IZ154" s="214"/>
      <c r="JA154" s="214"/>
      <c r="JB154" s="214"/>
      <c r="JC154" s="214"/>
      <c r="JD154" s="214"/>
      <c r="JE154" s="214"/>
      <c r="JF154" s="214"/>
      <c r="JG154" s="214"/>
      <c r="JH154" s="214"/>
      <c r="JI154" s="214"/>
    </row>
    <row r="155" spans="1:269">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c r="CG155" s="214"/>
      <c r="CH155" s="214"/>
      <c r="CI155" s="214"/>
      <c r="CJ155" s="214"/>
      <c r="CK155" s="214"/>
      <c r="CL155" s="214"/>
      <c r="CM155" s="214"/>
      <c r="CN155" s="214"/>
      <c r="CO155" s="214"/>
      <c r="CP155" s="214"/>
      <c r="CQ155" s="214"/>
      <c r="CR155" s="214"/>
      <c r="CS155" s="214"/>
      <c r="CT155" s="214"/>
      <c r="CU155" s="214"/>
      <c r="CV155" s="214"/>
      <c r="CW155" s="214"/>
      <c r="CX155" s="214"/>
      <c r="CY155" s="214"/>
      <c r="CZ155" s="214"/>
      <c r="DA155" s="214"/>
      <c r="DB155" s="214"/>
      <c r="DC155" s="214"/>
      <c r="DD155" s="214"/>
      <c r="DE155" s="214"/>
      <c r="DF155" s="214"/>
      <c r="DG155" s="214"/>
      <c r="DH155" s="214"/>
      <c r="DI155" s="214"/>
      <c r="DJ155" s="214"/>
      <c r="DK155" s="214"/>
      <c r="DL155" s="214"/>
      <c r="DM155" s="214"/>
      <c r="DN155" s="214"/>
      <c r="DO155" s="214"/>
      <c r="DP155" s="214"/>
      <c r="DQ155" s="214"/>
      <c r="DR155" s="214"/>
      <c r="DS155" s="214"/>
      <c r="DT155" s="214"/>
      <c r="DU155" s="214"/>
      <c r="DV155" s="214"/>
      <c r="DW155" s="214"/>
      <c r="DX155" s="214"/>
      <c r="DY155" s="214"/>
      <c r="DZ155" s="214"/>
      <c r="EA155" s="214"/>
      <c r="EB155" s="214"/>
      <c r="EC155" s="214"/>
      <c r="ED155" s="214"/>
      <c r="EE155" s="214"/>
      <c r="EF155" s="214"/>
      <c r="EG155" s="214"/>
      <c r="EH155" s="214"/>
      <c r="EI155" s="214"/>
      <c r="EJ155" s="214"/>
      <c r="EK155" s="214"/>
      <c r="EL155" s="214"/>
      <c r="EM155" s="214"/>
      <c r="EN155" s="214"/>
      <c r="EO155" s="214"/>
      <c r="EP155" s="214"/>
      <c r="EQ155" s="214"/>
      <c r="ER155" s="214"/>
      <c r="ES155" s="214"/>
      <c r="ET155" s="214"/>
      <c r="EU155" s="214"/>
      <c r="EV155" s="214"/>
      <c r="EW155" s="214"/>
      <c r="EX155" s="214"/>
      <c r="EY155" s="214"/>
      <c r="EZ155" s="214"/>
      <c r="FA155" s="214"/>
      <c r="FB155" s="214"/>
      <c r="FC155" s="214"/>
      <c r="FD155" s="214"/>
      <c r="FE155" s="214"/>
      <c r="FF155" s="214"/>
      <c r="FG155" s="214"/>
      <c r="FH155" s="214"/>
      <c r="FI155" s="214"/>
      <c r="FJ155" s="214"/>
      <c r="FK155" s="214"/>
      <c r="FL155" s="214"/>
      <c r="FM155" s="214"/>
      <c r="FN155" s="214"/>
      <c r="FO155" s="214"/>
      <c r="FP155" s="214"/>
      <c r="FQ155" s="214"/>
      <c r="FR155" s="214"/>
      <c r="FS155" s="214"/>
      <c r="FT155" s="214"/>
      <c r="FU155" s="214"/>
      <c r="FV155" s="214"/>
      <c r="FW155" s="214"/>
      <c r="FX155" s="214"/>
      <c r="FY155" s="214"/>
      <c r="FZ155" s="214"/>
      <c r="GA155" s="214"/>
      <c r="GB155" s="214"/>
      <c r="GC155" s="214"/>
      <c r="GD155" s="214"/>
      <c r="GE155" s="214"/>
      <c r="GF155" s="214"/>
      <c r="GG155" s="214"/>
      <c r="GH155" s="214"/>
      <c r="GI155" s="214"/>
      <c r="GJ155" s="214"/>
      <c r="GK155" s="214"/>
      <c r="GL155" s="214"/>
      <c r="GM155" s="214"/>
      <c r="GN155" s="214"/>
      <c r="GO155" s="214"/>
      <c r="GP155" s="214"/>
      <c r="GQ155" s="214"/>
      <c r="GR155" s="214"/>
      <c r="GS155" s="214"/>
      <c r="GT155" s="214"/>
      <c r="GU155" s="214"/>
      <c r="GV155" s="214"/>
      <c r="GW155" s="214"/>
      <c r="GX155" s="214"/>
      <c r="GY155" s="214"/>
      <c r="GZ155" s="214"/>
      <c r="HA155" s="214"/>
      <c r="HB155" s="214"/>
      <c r="HC155" s="214"/>
      <c r="HD155" s="214"/>
      <c r="HE155" s="214"/>
      <c r="HF155" s="214"/>
      <c r="HG155" s="214"/>
      <c r="HH155" s="214"/>
      <c r="HI155" s="214"/>
      <c r="HJ155" s="214"/>
      <c r="HK155" s="214"/>
      <c r="HL155" s="214"/>
      <c r="HM155" s="214"/>
      <c r="HN155" s="214"/>
      <c r="HO155" s="214"/>
      <c r="HP155" s="214"/>
      <c r="HQ155" s="214"/>
      <c r="HR155" s="214"/>
      <c r="HS155" s="214"/>
      <c r="HT155" s="214"/>
      <c r="HU155" s="214"/>
      <c r="HV155" s="214"/>
      <c r="HW155" s="214"/>
      <c r="HX155" s="214"/>
      <c r="HY155" s="214"/>
      <c r="HZ155" s="214"/>
      <c r="IA155" s="214"/>
      <c r="IB155" s="214"/>
      <c r="IC155" s="214"/>
      <c r="ID155" s="214"/>
      <c r="IE155" s="214"/>
      <c r="IF155" s="214"/>
      <c r="IG155" s="214"/>
      <c r="IH155" s="214"/>
      <c r="II155" s="214"/>
      <c r="IJ155" s="214"/>
      <c r="IK155" s="214"/>
      <c r="IL155" s="214"/>
      <c r="IM155" s="214"/>
      <c r="IN155" s="214"/>
      <c r="IO155" s="214"/>
      <c r="IP155" s="214"/>
      <c r="IQ155" s="214"/>
      <c r="IR155" s="214"/>
      <c r="IS155" s="214"/>
      <c r="IT155" s="214"/>
      <c r="IU155" s="214"/>
      <c r="IV155" s="214"/>
      <c r="IW155" s="214"/>
      <c r="IX155" s="214"/>
      <c r="IY155" s="214"/>
      <c r="IZ155" s="214"/>
      <c r="JA155" s="214"/>
      <c r="JB155" s="214"/>
      <c r="JC155" s="214"/>
      <c r="JD155" s="214"/>
      <c r="JE155" s="214"/>
      <c r="JF155" s="214"/>
      <c r="JG155" s="214"/>
      <c r="JH155" s="214"/>
      <c r="JI155" s="214"/>
    </row>
    <row r="156" spans="1:269">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c r="CG156" s="214"/>
      <c r="CH156" s="214"/>
      <c r="CI156" s="214"/>
      <c r="CJ156" s="214"/>
      <c r="CK156" s="214"/>
      <c r="CL156" s="214"/>
      <c r="CM156" s="214"/>
      <c r="CN156" s="214"/>
      <c r="CO156" s="214"/>
      <c r="CP156" s="214"/>
      <c r="CQ156" s="214"/>
      <c r="CR156" s="214"/>
      <c r="CS156" s="214"/>
      <c r="CT156" s="214"/>
      <c r="CU156" s="214"/>
      <c r="CV156" s="214"/>
      <c r="CW156" s="214"/>
      <c r="CX156" s="214"/>
      <c r="CY156" s="214"/>
      <c r="CZ156" s="214"/>
      <c r="DA156" s="214"/>
      <c r="DB156" s="214"/>
      <c r="DC156" s="214"/>
      <c r="DD156" s="214"/>
      <c r="DE156" s="214"/>
      <c r="DF156" s="214"/>
      <c r="DG156" s="214"/>
      <c r="DH156" s="214"/>
      <c r="DI156" s="214"/>
      <c r="DJ156" s="214"/>
      <c r="DK156" s="214"/>
      <c r="DL156" s="214"/>
      <c r="DM156" s="214"/>
      <c r="DN156" s="214"/>
      <c r="DO156" s="214"/>
      <c r="DP156" s="214"/>
      <c r="DQ156" s="214"/>
      <c r="DR156" s="214"/>
      <c r="DS156" s="214"/>
      <c r="DT156" s="214"/>
      <c r="DU156" s="214"/>
      <c r="DV156" s="214"/>
      <c r="DW156" s="214"/>
      <c r="DX156" s="214"/>
      <c r="DY156" s="214"/>
      <c r="DZ156" s="214"/>
      <c r="EA156" s="214"/>
      <c r="EB156" s="214"/>
      <c r="EC156" s="214"/>
      <c r="ED156" s="214"/>
      <c r="EE156" s="214"/>
      <c r="EF156" s="214"/>
      <c r="EG156" s="214"/>
      <c r="EH156" s="214"/>
      <c r="EI156" s="214"/>
      <c r="EJ156" s="214"/>
      <c r="EK156" s="214"/>
      <c r="EL156" s="214"/>
      <c r="EM156" s="214"/>
      <c r="EN156" s="214"/>
      <c r="EO156" s="214"/>
      <c r="EP156" s="214"/>
      <c r="EQ156" s="214"/>
      <c r="ER156" s="214"/>
      <c r="ES156" s="214"/>
      <c r="ET156" s="214"/>
      <c r="EU156" s="214"/>
      <c r="EV156" s="214"/>
      <c r="EW156" s="214"/>
      <c r="EX156" s="214"/>
      <c r="EY156" s="214"/>
      <c r="EZ156" s="214"/>
      <c r="FA156" s="214"/>
      <c r="FB156" s="214"/>
      <c r="FC156" s="214"/>
      <c r="FD156" s="214"/>
      <c r="FE156" s="214"/>
      <c r="FF156" s="214"/>
      <c r="FG156" s="214"/>
      <c r="FH156" s="214"/>
      <c r="FI156" s="214"/>
      <c r="FJ156" s="214"/>
      <c r="FK156" s="214"/>
      <c r="FL156" s="214"/>
      <c r="FM156" s="214"/>
      <c r="FN156" s="214"/>
      <c r="FO156" s="214"/>
      <c r="FP156" s="214"/>
      <c r="FQ156" s="214"/>
      <c r="FR156" s="214"/>
      <c r="FS156" s="214"/>
      <c r="FT156" s="214"/>
      <c r="FU156" s="214"/>
      <c r="FV156" s="214"/>
      <c r="FW156" s="214"/>
      <c r="FX156" s="214"/>
      <c r="FY156" s="214"/>
      <c r="FZ156" s="214"/>
      <c r="GA156" s="214"/>
      <c r="GB156" s="214"/>
      <c r="GC156" s="214"/>
      <c r="GD156" s="214"/>
      <c r="GE156" s="214"/>
      <c r="GF156" s="214"/>
      <c r="GG156" s="214"/>
      <c r="GH156" s="214"/>
      <c r="GI156" s="214"/>
      <c r="GJ156" s="214"/>
      <c r="GK156" s="214"/>
      <c r="GL156" s="214"/>
      <c r="GM156" s="214"/>
      <c r="GN156" s="214"/>
      <c r="GO156" s="214"/>
      <c r="GP156" s="214"/>
      <c r="GQ156" s="214"/>
      <c r="GR156" s="214"/>
      <c r="GS156" s="214"/>
      <c r="GT156" s="214"/>
      <c r="GU156" s="214"/>
      <c r="GV156" s="214"/>
      <c r="GW156" s="214"/>
      <c r="GX156" s="214"/>
      <c r="GY156" s="214"/>
      <c r="GZ156" s="214"/>
      <c r="HA156" s="214"/>
      <c r="HB156" s="214"/>
      <c r="HC156" s="214"/>
      <c r="HD156" s="214"/>
      <c r="HE156" s="214"/>
      <c r="HF156" s="214"/>
      <c r="HG156" s="214"/>
      <c r="HH156" s="214"/>
      <c r="HI156" s="214"/>
      <c r="HJ156" s="214"/>
      <c r="HK156" s="214"/>
      <c r="HL156" s="214"/>
      <c r="HM156" s="214"/>
      <c r="HN156" s="214"/>
      <c r="HO156" s="214"/>
      <c r="HP156" s="214"/>
      <c r="HQ156" s="214"/>
      <c r="HR156" s="214"/>
      <c r="HS156" s="214"/>
      <c r="HT156" s="214"/>
      <c r="HU156" s="214"/>
      <c r="HV156" s="214"/>
      <c r="HW156" s="214"/>
      <c r="HX156" s="214"/>
      <c r="HY156" s="214"/>
      <c r="HZ156" s="214"/>
      <c r="IA156" s="214"/>
      <c r="IB156" s="214"/>
      <c r="IC156" s="214"/>
      <c r="ID156" s="214"/>
      <c r="IE156" s="214"/>
      <c r="IF156" s="214"/>
      <c r="IG156" s="214"/>
      <c r="IH156" s="214"/>
      <c r="II156" s="214"/>
      <c r="IJ156" s="214"/>
      <c r="IK156" s="214"/>
      <c r="IL156" s="214"/>
      <c r="IM156" s="214"/>
      <c r="IN156" s="214"/>
      <c r="IO156" s="214"/>
      <c r="IP156" s="214"/>
      <c r="IQ156" s="214"/>
      <c r="IR156" s="214"/>
      <c r="IS156" s="214"/>
      <c r="IT156" s="214"/>
      <c r="IU156" s="214"/>
      <c r="IV156" s="214"/>
      <c r="IW156" s="214"/>
      <c r="IX156" s="214"/>
      <c r="IY156" s="214"/>
      <c r="IZ156" s="214"/>
      <c r="JA156" s="214"/>
      <c r="JB156" s="214"/>
      <c r="JC156" s="214"/>
      <c r="JD156" s="214"/>
      <c r="JE156" s="214"/>
      <c r="JF156" s="214"/>
      <c r="JG156" s="214"/>
      <c r="JH156" s="214"/>
      <c r="JI156" s="214"/>
    </row>
    <row r="157" spans="1:269">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c r="CG157" s="214"/>
      <c r="CH157" s="214"/>
      <c r="CI157" s="214"/>
      <c r="CJ157" s="214"/>
      <c r="CK157" s="214"/>
      <c r="CL157" s="214"/>
      <c r="CM157" s="214"/>
      <c r="CN157" s="214"/>
      <c r="CO157" s="214"/>
      <c r="CP157" s="214"/>
      <c r="CQ157" s="214"/>
      <c r="CR157" s="214"/>
      <c r="CS157" s="214"/>
      <c r="CT157" s="214"/>
      <c r="CU157" s="214"/>
      <c r="CV157" s="214"/>
      <c r="CW157" s="214"/>
      <c r="CX157" s="214"/>
      <c r="CY157" s="214"/>
      <c r="CZ157" s="214"/>
      <c r="DA157" s="214"/>
      <c r="DB157" s="214"/>
      <c r="DC157" s="214"/>
      <c r="DD157" s="214"/>
      <c r="DE157" s="214"/>
      <c r="DF157" s="214"/>
      <c r="DG157" s="214"/>
      <c r="DH157" s="214"/>
      <c r="DI157" s="214"/>
      <c r="DJ157" s="214"/>
      <c r="DK157" s="214"/>
      <c r="DL157" s="214"/>
      <c r="DM157" s="214"/>
      <c r="DN157" s="214"/>
      <c r="DO157" s="214"/>
      <c r="DP157" s="214"/>
      <c r="DQ157" s="214"/>
      <c r="DR157" s="214"/>
      <c r="DS157" s="214"/>
      <c r="DT157" s="214"/>
      <c r="DU157" s="214"/>
      <c r="DV157" s="214"/>
      <c r="DW157" s="214"/>
      <c r="DX157" s="214"/>
      <c r="DY157" s="214"/>
      <c r="DZ157" s="214"/>
      <c r="EA157" s="214"/>
      <c r="EB157" s="214"/>
      <c r="EC157" s="214"/>
      <c r="ED157" s="214"/>
      <c r="EE157" s="214"/>
      <c r="EF157" s="214"/>
      <c r="EG157" s="214"/>
      <c r="EH157" s="214"/>
      <c r="EI157" s="214"/>
      <c r="EJ157" s="214"/>
      <c r="EK157" s="214"/>
      <c r="EL157" s="214"/>
      <c r="EM157" s="214"/>
      <c r="EN157" s="214"/>
      <c r="EO157" s="214"/>
      <c r="EP157" s="214"/>
      <c r="EQ157" s="214"/>
      <c r="ER157" s="214"/>
      <c r="ES157" s="214"/>
      <c r="ET157" s="214"/>
      <c r="EU157" s="214"/>
      <c r="EV157" s="214"/>
      <c r="EW157" s="214"/>
      <c r="EX157" s="214"/>
      <c r="EY157" s="214"/>
      <c r="EZ157" s="214"/>
      <c r="FA157" s="214"/>
      <c r="FB157" s="214"/>
      <c r="FC157" s="214"/>
      <c r="FD157" s="214"/>
      <c r="FE157" s="214"/>
      <c r="FF157" s="214"/>
      <c r="FG157" s="214"/>
      <c r="FH157" s="214"/>
      <c r="FI157" s="214"/>
      <c r="FJ157" s="214"/>
      <c r="FK157" s="214"/>
      <c r="FL157" s="214"/>
      <c r="FM157" s="214"/>
      <c r="FN157" s="214"/>
      <c r="FO157" s="214"/>
      <c r="FP157" s="214"/>
      <c r="FQ157" s="214"/>
      <c r="FR157" s="214"/>
      <c r="FS157" s="214"/>
      <c r="FT157" s="214"/>
      <c r="FU157" s="214"/>
      <c r="FV157" s="214"/>
      <c r="FW157" s="214"/>
      <c r="FX157" s="214"/>
      <c r="FY157" s="214"/>
      <c r="FZ157" s="214"/>
      <c r="GA157" s="214"/>
      <c r="GB157" s="214"/>
      <c r="GC157" s="214"/>
      <c r="GD157" s="214"/>
      <c r="GE157" s="214"/>
      <c r="GF157" s="214"/>
      <c r="GG157" s="214"/>
      <c r="GH157" s="214"/>
      <c r="GI157" s="214"/>
      <c r="GJ157" s="214"/>
      <c r="GK157" s="214"/>
      <c r="GL157" s="214"/>
      <c r="GM157" s="214"/>
      <c r="GN157" s="214"/>
      <c r="GO157" s="214"/>
      <c r="GP157" s="214"/>
      <c r="GQ157" s="214"/>
      <c r="GR157" s="214"/>
      <c r="GS157" s="214"/>
      <c r="GT157" s="214"/>
      <c r="GU157" s="214"/>
      <c r="GV157" s="214"/>
      <c r="GW157" s="214"/>
      <c r="GX157" s="214"/>
      <c r="GY157" s="214"/>
      <c r="GZ157" s="214"/>
      <c r="HA157" s="214"/>
      <c r="HB157" s="214"/>
      <c r="HC157" s="214"/>
      <c r="HD157" s="214"/>
      <c r="HE157" s="214"/>
      <c r="HF157" s="214"/>
      <c r="HG157" s="214"/>
      <c r="HH157" s="214"/>
      <c r="HI157" s="214"/>
      <c r="HJ157" s="214"/>
      <c r="HK157" s="214"/>
      <c r="HL157" s="214"/>
      <c r="HM157" s="214"/>
      <c r="HN157" s="214"/>
      <c r="HO157" s="214"/>
      <c r="HP157" s="214"/>
      <c r="HQ157" s="214"/>
      <c r="HR157" s="214"/>
      <c r="HS157" s="214"/>
      <c r="HT157" s="214"/>
      <c r="HU157" s="214"/>
      <c r="HV157" s="214"/>
      <c r="HW157" s="214"/>
      <c r="HX157" s="214"/>
      <c r="HY157" s="214"/>
      <c r="HZ157" s="214"/>
      <c r="IA157" s="214"/>
      <c r="IB157" s="214"/>
      <c r="IC157" s="214"/>
      <c r="ID157" s="214"/>
      <c r="IE157" s="214"/>
      <c r="IF157" s="214"/>
      <c r="IG157" s="214"/>
      <c r="IH157" s="214"/>
      <c r="II157" s="214"/>
      <c r="IJ157" s="214"/>
      <c r="IK157" s="214"/>
      <c r="IL157" s="214"/>
      <c r="IM157" s="214"/>
      <c r="IN157" s="214"/>
      <c r="IO157" s="214"/>
      <c r="IP157" s="214"/>
      <c r="IQ157" s="214"/>
      <c r="IR157" s="214"/>
      <c r="IS157" s="214"/>
      <c r="IT157" s="214"/>
      <c r="IU157" s="214"/>
      <c r="IV157" s="214"/>
      <c r="IW157" s="214"/>
      <c r="IX157" s="214"/>
      <c r="IY157" s="214"/>
      <c r="IZ157" s="214"/>
      <c r="JA157" s="214"/>
      <c r="JB157" s="214"/>
      <c r="JC157" s="214"/>
      <c r="JD157" s="214"/>
      <c r="JE157" s="214"/>
      <c r="JF157" s="214"/>
      <c r="JG157" s="214"/>
      <c r="JH157" s="214"/>
      <c r="JI157" s="214"/>
    </row>
    <row r="158" spans="1:269">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c r="CG158" s="214"/>
      <c r="CH158" s="214"/>
      <c r="CI158" s="214"/>
      <c r="CJ158" s="214"/>
      <c r="CK158" s="214"/>
      <c r="CL158" s="214"/>
      <c r="CM158" s="214"/>
      <c r="CN158" s="214"/>
      <c r="CO158" s="214"/>
      <c r="CP158" s="214"/>
      <c r="CQ158" s="214"/>
      <c r="CR158" s="214"/>
      <c r="CS158" s="214"/>
      <c r="CT158" s="214"/>
      <c r="CU158" s="214"/>
      <c r="CV158" s="214"/>
      <c r="CW158" s="214"/>
      <c r="CX158" s="214"/>
      <c r="CY158" s="214"/>
      <c r="CZ158" s="214"/>
      <c r="DA158" s="214"/>
      <c r="DB158" s="214"/>
      <c r="DC158" s="214"/>
      <c r="DD158" s="214"/>
      <c r="DE158" s="214"/>
      <c r="DF158" s="214"/>
      <c r="DG158" s="214"/>
      <c r="DH158" s="214"/>
      <c r="DI158" s="214"/>
      <c r="DJ158" s="214"/>
      <c r="DK158" s="214"/>
      <c r="DL158" s="214"/>
      <c r="DM158" s="214"/>
      <c r="DN158" s="214"/>
      <c r="DO158" s="214"/>
      <c r="DP158" s="214"/>
      <c r="DQ158" s="214"/>
      <c r="DR158" s="214"/>
      <c r="DS158" s="214"/>
      <c r="DT158" s="214"/>
      <c r="DU158" s="214"/>
      <c r="DV158" s="214"/>
      <c r="DW158" s="214"/>
      <c r="DX158" s="214"/>
      <c r="DY158" s="214"/>
      <c r="DZ158" s="214"/>
      <c r="EA158" s="214"/>
      <c r="EB158" s="214"/>
      <c r="EC158" s="214"/>
      <c r="ED158" s="214"/>
      <c r="EE158" s="214"/>
      <c r="EF158" s="214"/>
      <c r="EG158" s="214"/>
      <c r="EH158" s="214"/>
      <c r="EI158" s="214"/>
      <c r="EJ158" s="214"/>
      <c r="EK158" s="214"/>
      <c r="EL158" s="214"/>
      <c r="EM158" s="214"/>
      <c r="EN158" s="214"/>
      <c r="EO158" s="214"/>
      <c r="EP158" s="214"/>
      <c r="EQ158" s="214"/>
      <c r="ER158" s="214"/>
      <c r="ES158" s="214"/>
      <c r="ET158" s="214"/>
      <c r="EU158" s="214"/>
      <c r="EV158" s="214"/>
      <c r="EW158" s="214"/>
      <c r="EX158" s="214"/>
      <c r="EY158" s="214"/>
      <c r="EZ158" s="214"/>
      <c r="FA158" s="214"/>
      <c r="FB158" s="214"/>
      <c r="FC158" s="214"/>
      <c r="FD158" s="214"/>
      <c r="FE158" s="214"/>
      <c r="FF158" s="214"/>
      <c r="FG158" s="214"/>
      <c r="FH158" s="214"/>
      <c r="FI158" s="214"/>
      <c r="FJ158" s="214"/>
      <c r="FK158" s="214"/>
      <c r="FL158" s="214"/>
      <c r="FM158" s="214"/>
      <c r="FN158" s="214"/>
      <c r="FO158" s="214"/>
      <c r="FP158" s="214"/>
      <c r="FQ158" s="214"/>
      <c r="FR158" s="214"/>
      <c r="FS158" s="214"/>
      <c r="FT158" s="214"/>
      <c r="FU158" s="214"/>
      <c r="FV158" s="214"/>
      <c r="FW158" s="214"/>
      <c r="FX158" s="214"/>
      <c r="FY158" s="214"/>
      <c r="FZ158" s="214"/>
      <c r="GA158" s="214"/>
      <c r="GB158" s="214"/>
      <c r="GC158" s="214"/>
      <c r="GD158" s="214"/>
      <c r="GE158" s="214"/>
      <c r="GF158" s="214"/>
      <c r="GG158" s="214"/>
      <c r="GH158" s="214"/>
      <c r="GI158" s="214"/>
      <c r="GJ158" s="214"/>
      <c r="GK158" s="214"/>
      <c r="GL158" s="214"/>
      <c r="GM158" s="214"/>
      <c r="GN158" s="214"/>
      <c r="GO158" s="214"/>
      <c r="GP158" s="214"/>
      <c r="GQ158" s="214"/>
      <c r="GR158" s="214"/>
      <c r="GS158" s="214"/>
      <c r="GT158" s="214"/>
      <c r="GU158" s="214"/>
      <c r="GV158" s="214"/>
      <c r="GW158" s="214"/>
      <c r="GX158" s="214"/>
      <c r="GY158" s="214"/>
      <c r="GZ158" s="214"/>
      <c r="HA158" s="214"/>
      <c r="HB158" s="214"/>
      <c r="HC158" s="214"/>
      <c r="HD158" s="214"/>
      <c r="HE158" s="214"/>
      <c r="HF158" s="214"/>
      <c r="HG158" s="214"/>
      <c r="HH158" s="214"/>
      <c r="HI158" s="214"/>
      <c r="HJ158" s="214"/>
      <c r="HK158" s="214"/>
      <c r="HL158" s="214"/>
      <c r="HM158" s="214"/>
      <c r="HN158" s="214"/>
      <c r="HO158" s="214"/>
      <c r="HP158" s="214"/>
      <c r="HQ158" s="214"/>
      <c r="HR158" s="214"/>
      <c r="HS158" s="214"/>
      <c r="HT158" s="214"/>
      <c r="HU158" s="214"/>
      <c r="HV158" s="214"/>
      <c r="HW158" s="214"/>
      <c r="HX158" s="214"/>
      <c r="HY158" s="214"/>
      <c r="HZ158" s="214"/>
      <c r="IA158" s="214"/>
      <c r="IB158" s="214"/>
      <c r="IC158" s="214"/>
      <c r="ID158" s="214"/>
      <c r="IE158" s="214"/>
      <c r="IF158" s="214"/>
      <c r="IG158" s="214"/>
      <c r="IH158" s="214"/>
      <c r="II158" s="214"/>
      <c r="IJ158" s="214"/>
      <c r="IK158" s="214"/>
      <c r="IL158" s="214"/>
      <c r="IM158" s="214"/>
      <c r="IN158" s="214"/>
      <c r="IO158" s="214"/>
      <c r="IP158" s="214"/>
      <c r="IQ158" s="214"/>
      <c r="IR158" s="214"/>
      <c r="IS158" s="214"/>
      <c r="IT158" s="214"/>
      <c r="IU158" s="214"/>
      <c r="IV158" s="214"/>
      <c r="IW158" s="214"/>
      <c r="IX158" s="214"/>
      <c r="IY158" s="214"/>
      <c r="IZ158" s="214"/>
      <c r="JA158" s="214"/>
      <c r="JB158" s="214"/>
      <c r="JC158" s="214"/>
      <c r="JD158" s="214"/>
      <c r="JE158" s="214"/>
      <c r="JF158" s="214"/>
      <c r="JG158" s="214"/>
      <c r="JH158" s="214"/>
      <c r="JI158" s="214"/>
    </row>
    <row r="159" spans="1:269">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c r="CG159" s="214"/>
      <c r="CH159" s="214"/>
      <c r="CI159" s="214"/>
      <c r="CJ159" s="214"/>
      <c r="CK159" s="214"/>
      <c r="CL159" s="214"/>
      <c r="CM159" s="214"/>
      <c r="CN159" s="214"/>
      <c r="CO159" s="214"/>
      <c r="CP159" s="214"/>
      <c r="CQ159" s="214"/>
      <c r="CR159" s="214"/>
      <c r="CS159" s="214"/>
      <c r="CT159" s="214"/>
      <c r="CU159" s="214"/>
      <c r="CV159" s="214"/>
      <c r="CW159" s="214"/>
      <c r="CX159" s="214"/>
      <c r="CY159" s="214"/>
      <c r="CZ159" s="214"/>
      <c r="DA159" s="214"/>
      <c r="DB159" s="214"/>
      <c r="DC159" s="214"/>
      <c r="DD159" s="214"/>
      <c r="DE159" s="214"/>
      <c r="DF159" s="214"/>
      <c r="DG159" s="214"/>
      <c r="DH159" s="214"/>
      <c r="DI159" s="214"/>
      <c r="DJ159" s="214"/>
      <c r="DK159" s="214"/>
      <c r="DL159" s="214"/>
      <c r="DM159" s="214"/>
      <c r="DN159" s="214"/>
      <c r="DO159" s="214"/>
      <c r="DP159" s="214"/>
      <c r="DQ159" s="214"/>
      <c r="DR159" s="214"/>
      <c r="DS159" s="214"/>
      <c r="DT159" s="214"/>
      <c r="DU159" s="214"/>
      <c r="DV159" s="214"/>
      <c r="DW159" s="214"/>
      <c r="DX159" s="214"/>
      <c r="DY159" s="214"/>
      <c r="DZ159" s="214"/>
      <c r="EA159" s="214"/>
      <c r="EB159" s="214"/>
      <c r="EC159" s="214"/>
      <c r="ED159" s="214"/>
      <c r="EE159" s="214"/>
      <c r="EF159" s="214"/>
      <c r="EG159" s="214"/>
      <c r="EH159" s="214"/>
      <c r="EI159" s="214"/>
      <c r="EJ159" s="214"/>
      <c r="EK159" s="214"/>
      <c r="EL159" s="214"/>
      <c r="EM159" s="214"/>
      <c r="EN159" s="214"/>
      <c r="EO159" s="214"/>
      <c r="EP159" s="214"/>
      <c r="EQ159" s="214"/>
      <c r="ER159" s="214"/>
      <c r="ES159" s="214"/>
      <c r="ET159" s="214"/>
      <c r="EU159" s="214"/>
      <c r="EV159" s="214"/>
      <c r="EW159" s="214"/>
      <c r="EX159" s="214"/>
      <c r="EY159" s="214"/>
      <c r="EZ159" s="214"/>
      <c r="FA159" s="214"/>
      <c r="FB159" s="214"/>
      <c r="FC159" s="214"/>
      <c r="FD159" s="214"/>
      <c r="FE159" s="214"/>
      <c r="FF159" s="214"/>
      <c r="FG159" s="214"/>
      <c r="FH159" s="214"/>
      <c r="FI159" s="214"/>
      <c r="FJ159" s="214"/>
      <c r="FK159" s="214"/>
      <c r="FL159" s="214"/>
      <c r="FM159" s="214"/>
      <c r="FN159" s="214"/>
      <c r="FO159" s="214"/>
      <c r="FP159" s="214"/>
      <c r="FQ159" s="214"/>
      <c r="FR159" s="214"/>
      <c r="FS159" s="214"/>
      <c r="FT159" s="214"/>
      <c r="FU159" s="214"/>
      <c r="FV159" s="214"/>
      <c r="FW159" s="214"/>
      <c r="FX159" s="214"/>
      <c r="FY159" s="214"/>
      <c r="FZ159" s="214"/>
      <c r="GA159" s="214"/>
      <c r="GB159" s="214"/>
      <c r="GC159" s="214"/>
      <c r="GD159" s="214"/>
      <c r="GE159" s="214"/>
      <c r="GF159" s="214"/>
      <c r="GG159" s="214"/>
      <c r="GH159" s="214"/>
      <c r="GI159" s="214"/>
      <c r="GJ159" s="214"/>
      <c r="GK159" s="214"/>
      <c r="GL159" s="214"/>
      <c r="GM159" s="214"/>
      <c r="GN159" s="214"/>
      <c r="GO159" s="214"/>
      <c r="GP159" s="214"/>
      <c r="GQ159" s="214"/>
      <c r="GR159" s="214"/>
      <c r="GS159" s="214"/>
      <c r="GT159" s="214"/>
      <c r="GU159" s="214"/>
      <c r="GV159" s="214"/>
      <c r="GW159" s="214"/>
      <c r="GX159" s="214"/>
      <c r="GY159" s="214"/>
      <c r="GZ159" s="214"/>
      <c r="HA159" s="214"/>
      <c r="HB159" s="214"/>
      <c r="HC159" s="214"/>
      <c r="HD159" s="214"/>
      <c r="HE159" s="214"/>
      <c r="HF159" s="214"/>
      <c r="HG159" s="214"/>
      <c r="HH159" s="214"/>
      <c r="HI159" s="214"/>
      <c r="HJ159" s="214"/>
      <c r="HK159" s="214"/>
      <c r="HL159" s="214"/>
      <c r="HM159" s="214"/>
      <c r="HN159" s="214"/>
      <c r="HO159" s="214"/>
      <c r="HP159" s="214"/>
      <c r="HQ159" s="214"/>
      <c r="HR159" s="214"/>
      <c r="HS159" s="214"/>
      <c r="HT159" s="214"/>
      <c r="HU159" s="214"/>
      <c r="HV159" s="214"/>
      <c r="HW159" s="214"/>
      <c r="HX159" s="214"/>
      <c r="HY159" s="214"/>
      <c r="HZ159" s="214"/>
      <c r="IA159" s="214"/>
      <c r="IB159" s="214"/>
      <c r="IC159" s="214"/>
      <c r="ID159" s="214"/>
      <c r="IE159" s="214"/>
      <c r="IF159" s="214"/>
      <c r="IG159" s="214"/>
      <c r="IH159" s="214"/>
      <c r="II159" s="214"/>
      <c r="IJ159" s="214"/>
      <c r="IK159" s="214"/>
      <c r="IL159" s="214"/>
      <c r="IM159" s="214"/>
      <c r="IN159" s="214"/>
      <c r="IO159" s="214"/>
      <c r="IP159" s="214"/>
      <c r="IQ159" s="214"/>
      <c r="IR159" s="214"/>
      <c r="IS159" s="214"/>
      <c r="IT159" s="214"/>
      <c r="IU159" s="214"/>
      <c r="IV159" s="214"/>
      <c r="IW159" s="214"/>
      <c r="IX159" s="214"/>
      <c r="IY159" s="214"/>
      <c r="IZ159" s="214"/>
      <c r="JA159" s="214"/>
      <c r="JB159" s="214"/>
      <c r="JC159" s="214"/>
      <c r="JD159" s="214"/>
      <c r="JE159" s="214"/>
      <c r="JF159" s="214"/>
      <c r="JG159" s="214"/>
      <c r="JH159" s="214"/>
      <c r="JI159" s="214"/>
    </row>
    <row r="160" spans="1:269">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c r="CG160" s="214"/>
      <c r="CH160" s="214"/>
      <c r="CI160" s="214"/>
      <c r="CJ160" s="214"/>
      <c r="CK160" s="214"/>
      <c r="CL160" s="214"/>
      <c r="CM160" s="214"/>
      <c r="CN160" s="214"/>
      <c r="CO160" s="214"/>
      <c r="CP160" s="214"/>
      <c r="CQ160" s="214"/>
      <c r="CR160" s="214"/>
      <c r="CS160" s="214"/>
      <c r="CT160" s="214"/>
      <c r="CU160" s="214"/>
      <c r="CV160" s="214"/>
      <c r="CW160" s="214"/>
      <c r="CX160" s="214"/>
      <c r="CY160" s="214"/>
      <c r="CZ160" s="214"/>
      <c r="DA160" s="214"/>
      <c r="DB160" s="214"/>
      <c r="DC160" s="214"/>
      <c r="DD160" s="214"/>
      <c r="DE160" s="214"/>
      <c r="DF160" s="214"/>
      <c r="DG160" s="214"/>
      <c r="DH160" s="214"/>
      <c r="DI160" s="214"/>
      <c r="DJ160" s="214"/>
      <c r="DK160" s="214"/>
      <c r="DL160" s="214"/>
      <c r="DM160" s="214"/>
      <c r="DN160" s="214"/>
      <c r="DO160" s="214"/>
      <c r="DP160" s="214"/>
      <c r="DQ160" s="214"/>
      <c r="DR160" s="214"/>
      <c r="DS160" s="214"/>
      <c r="DT160" s="214"/>
      <c r="DU160" s="214"/>
      <c r="DV160" s="214"/>
      <c r="DW160" s="214"/>
      <c r="DX160" s="214"/>
      <c r="DY160" s="214"/>
      <c r="DZ160" s="214"/>
      <c r="EA160" s="214"/>
      <c r="EB160" s="214"/>
      <c r="EC160" s="214"/>
      <c r="ED160" s="214"/>
      <c r="EE160" s="214"/>
      <c r="EF160" s="214"/>
      <c r="EG160" s="214"/>
      <c r="EH160" s="214"/>
      <c r="EI160" s="214"/>
      <c r="EJ160" s="214"/>
      <c r="EK160" s="214"/>
      <c r="EL160" s="214"/>
      <c r="EM160" s="214"/>
      <c r="EN160" s="214"/>
      <c r="EO160" s="214"/>
      <c r="EP160" s="214"/>
      <c r="EQ160" s="214"/>
      <c r="ER160" s="214"/>
      <c r="ES160" s="214"/>
      <c r="ET160" s="214"/>
      <c r="EU160" s="214"/>
      <c r="EV160" s="214"/>
      <c r="EW160" s="214"/>
      <c r="EX160" s="214"/>
      <c r="EY160" s="214"/>
      <c r="EZ160" s="214"/>
      <c r="FA160" s="214"/>
      <c r="FB160" s="214"/>
      <c r="FC160" s="214"/>
      <c r="FD160" s="214"/>
      <c r="FE160" s="214"/>
      <c r="FF160" s="214"/>
      <c r="FG160" s="214"/>
      <c r="FH160" s="214"/>
      <c r="FI160" s="214"/>
      <c r="FJ160" s="214"/>
      <c r="FK160" s="214"/>
      <c r="FL160" s="214"/>
      <c r="FM160" s="214"/>
      <c r="FN160" s="214"/>
      <c r="FO160" s="214"/>
      <c r="FP160" s="214"/>
      <c r="FQ160" s="214"/>
      <c r="FR160" s="214"/>
      <c r="FS160" s="214"/>
      <c r="FT160" s="214"/>
      <c r="FU160" s="214"/>
      <c r="FV160" s="214"/>
      <c r="FW160" s="214"/>
      <c r="FX160" s="214"/>
      <c r="FY160" s="214"/>
      <c r="FZ160" s="214"/>
      <c r="GA160" s="214"/>
      <c r="GB160" s="214"/>
      <c r="GC160" s="214"/>
      <c r="GD160" s="214"/>
      <c r="GE160" s="214"/>
      <c r="GF160" s="214"/>
      <c r="GG160" s="214"/>
      <c r="GH160" s="214"/>
      <c r="GI160" s="214"/>
      <c r="GJ160" s="214"/>
      <c r="GK160" s="214"/>
      <c r="GL160" s="214"/>
      <c r="GM160" s="214"/>
      <c r="GN160" s="214"/>
      <c r="GO160" s="214"/>
      <c r="GP160" s="214"/>
      <c r="GQ160" s="214"/>
      <c r="GR160" s="214"/>
      <c r="GS160" s="214"/>
      <c r="GT160" s="214"/>
      <c r="GU160" s="214"/>
      <c r="GV160" s="214"/>
      <c r="GW160" s="214"/>
      <c r="GX160" s="214"/>
      <c r="GY160" s="214"/>
      <c r="GZ160" s="214"/>
      <c r="HA160" s="214"/>
      <c r="HB160" s="214"/>
      <c r="HC160" s="214"/>
      <c r="HD160" s="214"/>
      <c r="HE160" s="214"/>
      <c r="HF160" s="214"/>
      <c r="HG160" s="214"/>
      <c r="HH160" s="214"/>
      <c r="HI160" s="214"/>
      <c r="HJ160" s="214"/>
      <c r="HK160" s="214"/>
      <c r="HL160" s="214"/>
      <c r="HM160" s="214"/>
      <c r="HN160" s="214"/>
      <c r="HO160" s="214"/>
      <c r="HP160" s="214"/>
      <c r="HQ160" s="214"/>
      <c r="HR160" s="214"/>
      <c r="HS160" s="214"/>
      <c r="HT160" s="214"/>
      <c r="HU160" s="214"/>
      <c r="HV160" s="214"/>
      <c r="HW160" s="214"/>
      <c r="HX160" s="214"/>
      <c r="HY160" s="214"/>
      <c r="HZ160" s="214"/>
      <c r="IA160" s="214"/>
      <c r="IB160" s="214"/>
      <c r="IC160" s="214"/>
      <c r="ID160" s="214"/>
      <c r="IE160" s="214"/>
      <c r="IF160" s="214"/>
      <c r="IG160" s="214"/>
      <c r="IH160" s="214"/>
      <c r="II160" s="214"/>
      <c r="IJ160" s="214"/>
      <c r="IK160" s="214"/>
      <c r="IL160" s="214"/>
      <c r="IM160" s="214"/>
      <c r="IN160" s="214"/>
      <c r="IO160" s="214"/>
      <c r="IP160" s="214"/>
      <c r="IQ160" s="214"/>
      <c r="IR160" s="214"/>
      <c r="IS160" s="214"/>
      <c r="IT160" s="214"/>
      <c r="IU160" s="214"/>
      <c r="IV160" s="214"/>
      <c r="IW160" s="214"/>
      <c r="IX160" s="214"/>
      <c r="IY160" s="214"/>
      <c r="IZ160" s="214"/>
      <c r="JA160" s="214"/>
      <c r="JB160" s="214"/>
      <c r="JC160" s="214"/>
      <c r="JD160" s="214"/>
      <c r="JE160" s="214"/>
      <c r="JF160" s="214"/>
      <c r="JG160" s="214"/>
      <c r="JH160" s="214"/>
      <c r="JI160" s="214"/>
    </row>
    <row r="161" spans="1:269">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c r="CG161" s="214"/>
      <c r="CH161" s="214"/>
      <c r="CI161" s="214"/>
      <c r="CJ161" s="214"/>
      <c r="CK161" s="214"/>
      <c r="CL161" s="214"/>
      <c r="CM161" s="214"/>
      <c r="CN161" s="214"/>
      <c r="CO161" s="214"/>
      <c r="CP161" s="214"/>
      <c r="CQ161" s="214"/>
      <c r="CR161" s="214"/>
      <c r="CS161" s="214"/>
      <c r="CT161" s="214"/>
      <c r="CU161" s="214"/>
      <c r="CV161" s="214"/>
      <c r="CW161" s="214"/>
      <c r="CX161" s="214"/>
      <c r="CY161" s="214"/>
      <c r="CZ161" s="214"/>
      <c r="DA161" s="214"/>
      <c r="DB161" s="214"/>
      <c r="DC161" s="214"/>
      <c r="DD161" s="214"/>
      <c r="DE161" s="214"/>
      <c r="DF161" s="214"/>
      <c r="DG161" s="214"/>
      <c r="DH161" s="214"/>
      <c r="DI161" s="214"/>
      <c r="DJ161" s="214"/>
      <c r="DK161" s="214"/>
      <c r="DL161" s="214"/>
      <c r="DM161" s="214"/>
      <c r="DN161" s="214"/>
      <c r="DO161" s="214"/>
      <c r="DP161" s="214"/>
      <c r="DQ161" s="214"/>
      <c r="DR161" s="214"/>
      <c r="DS161" s="214"/>
      <c r="DT161" s="214"/>
      <c r="DU161" s="214"/>
      <c r="DV161" s="214"/>
      <c r="DW161" s="214"/>
      <c r="DX161" s="214"/>
      <c r="DY161" s="214"/>
      <c r="DZ161" s="214"/>
      <c r="EA161" s="214"/>
      <c r="EB161" s="214"/>
      <c r="EC161" s="214"/>
      <c r="ED161" s="214"/>
      <c r="EE161" s="214"/>
      <c r="EF161" s="214"/>
      <c r="EG161" s="214"/>
      <c r="EH161" s="214"/>
      <c r="EI161" s="214"/>
      <c r="EJ161" s="214"/>
      <c r="EK161" s="214"/>
      <c r="EL161" s="214"/>
      <c r="EM161" s="214"/>
      <c r="EN161" s="214"/>
      <c r="EO161" s="214"/>
      <c r="EP161" s="214"/>
      <c r="EQ161" s="214"/>
      <c r="ER161" s="214"/>
      <c r="ES161" s="214"/>
      <c r="ET161" s="214"/>
      <c r="EU161" s="214"/>
      <c r="EV161" s="214"/>
      <c r="EW161" s="214"/>
      <c r="EX161" s="214"/>
      <c r="EY161" s="214"/>
      <c r="EZ161" s="214"/>
      <c r="FA161" s="214"/>
      <c r="FB161" s="214"/>
      <c r="FC161" s="214"/>
      <c r="FD161" s="214"/>
      <c r="FE161" s="214"/>
      <c r="FF161" s="214"/>
      <c r="FG161" s="214"/>
      <c r="FH161" s="214"/>
      <c r="FI161" s="214"/>
      <c r="FJ161" s="214"/>
      <c r="FK161" s="214"/>
      <c r="FL161" s="214"/>
      <c r="FM161" s="214"/>
      <c r="FN161" s="214"/>
      <c r="FO161" s="214"/>
      <c r="FP161" s="214"/>
      <c r="FQ161" s="214"/>
      <c r="FR161" s="214"/>
      <c r="FS161" s="214"/>
      <c r="FT161" s="214"/>
      <c r="FU161" s="214"/>
      <c r="FV161" s="214"/>
      <c r="FW161" s="214"/>
      <c r="FX161" s="214"/>
      <c r="FY161" s="214"/>
      <c r="FZ161" s="214"/>
      <c r="GA161" s="214"/>
      <c r="GB161" s="214"/>
      <c r="GC161" s="214"/>
      <c r="GD161" s="214"/>
      <c r="GE161" s="214"/>
      <c r="GF161" s="214"/>
      <c r="GG161" s="214"/>
      <c r="GH161" s="214"/>
      <c r="GI161" s="214"/>
      <c r="GJ161" s="214"/>
      <c r="GK161" s="214"/>
      <c r="GL161" s="214"/>
      <c r="GM161" s="214"/>
      <c r="GN161" s="214"/>
      <c r="GO161" s="214"/>
      <c r="GP161" s="214"/>
      <c r="GQ161" s="214"/>
      <c r="GR161" s="214"/>
      <c r="GS161" s="214"/>
      <c r="GT161" s="214"/>
      <c r="GU161" s="214"/>
      <c r="GV161" s="214"/>
      <c r="GW161" s="214"/>
      <c r="GX161" s="214"/>
      <c r="GY161" s="214"/>
      <c r="GZ161" s="214"/>
      <c r="HA161" s="214"/>
      <c r="HB161" s="214"/>
      <c r="HC161" s="214"/>
      <c r="HD161" s="214"/>
      <c r="HE161" s="214"/>
      <c r="HF161" s="214"/>
      <c r="HG161" s="214"/>
      <c r="HH161" s="214"/>
      <c r="HI161" s="214"/>
      <c r="HJ161" s="214"/>
      <c r="HK161" s="214"/>
      <c r="HL161" s="214"/>
      <c r="HM161" s="214"/>
      <c r="HN161" s="214"/>
      <c r="HO161" s="214"/>
      <c r="HP161" s="214"/>
      <c r="HQ161" s="214"/>
      <c r="HR161" s="214"/>
      <c r="HS161" s="214"/>
      <c r="HT161" s="214"/>
      <c r="HU161" s="214"/>
      <c r="HV161" s="214"/>
      <c r="HW161" s="214"/>
      <c r="HX161" s="214"/>
      <c r="HY161" s="214"/>
      <c r="HZ161" s="214"/>
      <c r="IA161" s="214"/>
      <c r="IB161" s="214"/>
      <c r="IC161" s="214"/>
      <c r="ID161" s="214"/>
      <c r="IE161" s="214"/>
      <c r="IF161" s="214"/>
      <c r="IG161" s="214"/>
      <c r="IH161" s="214"/>
      <c r="II161" s="214"/>
      <c r="IJ161" s="214"/>
      <c r="IK161" s="214"/>
      <c r="IL161" s="214"/>
      <c r="IM161" s="214"/>
      <c r="IN161" s="214"/>
      <c r="IO161" s="214"/>
      <c r="IP161" s="214"/>
      <c r="IQ161" s="214"/>
      <c r="IR161" s="214"/>
      <c r="IS161" s="214"/>
      <c r="IT161" s="214"/>
      <c r="IU161" s="214"/>
      <c r="IV161" s="214"/>
      <c r="IW161" s="214"/>
      <c r="IX161" s="214"/>
      <c r="IY161" s="214"/>
      <c r="IZ161" s="214"/>
      <c r="JA161" s="214"/>
      <c r="JB161" s="214"/>
      <c r="JC161" s="214"/>
      <c r="JD161" s="214"/>
      <c r="JE161" s="214"/>
      <c r="JF161" s="214"/>
      <c r="JG161" s="214"/>
      <c r="JH161" s="214"/>
      <c r="JI161" s="214"/>
    </row>
    <row r="162" spans="1:269">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c r="CG162" s="214"/>
      <c r="CH162" s="214"/>
      <c r="CI162" s="214"/>
      <c r="CJ162" s="214"/>
      <c r="CK162" s="214"/>
      <c r="CL162" s="214"/>
      <c r="CM162" s="214"/>
      <c r="CN162" s="214"/>
      <c r="CO162" s="214"/>
      <c r="CP162" s="214"/>
      <c r="CQ162" s="214"/>
      <c r="CR162" s="214"/>
      <c r="CS162" s="214"/>
      <c r="CT162" s="214"/>
      <c r="CU162" s="214"/>
      <c r="CV162" s="214"/>
      <c r="CW162" s="214"/>
      <c r="CX162" s="214"/>
      <c r="CY162" s="214"/>
      <c r="CZ162" s="214"/>
      <c r="DA162" s="214"/>
      <c r="DB162" s="214"/>
      <c r="DC162" s="214"/>
      <c r="DD162" s="214"/>
      <c r="DE162" s="214"/>
      <c r="DF162" s="214"/>
      <c r="DG162" s="214"/>
      <c r="DH162" s="214"/>
      <c r="DI162" s="214"/>
      <c r="DJ162" s="214"/>
      <c r="DK162" s="214"/>
      <c r="DL162" s="214"/>
      <c r="DM162" s="214"/>
      <c r="DN162" s="214"/>
      <c r="DO162" s="214"/>
      <c r="DP162" s="214"/>
      <c r="DQ162" s="214"/>
      <c r="DR162" s="214"/>
      <c r="DS162" s="214"/>
      <c r="DT162" s="214"/>
      <c r="DU162" s="214"/>
      <c r="DV162" s="214"/>
      <c r="DW162" s="214"/>
      <c r="DX162" s="214"/>
      <c r="DY162" s="214"/>
      <c r="DZ162" s="214"/>
      <c r="EA162" s="214"/>
      <c r="EB162" s="214"/>
      <c r="EC162" s="214"/>
      <c r="ED162" s="214"/>
      <c r="EE162" s="214"/>
      <c r="EF162" s="214"/>
      <c r="EG162" s="214"/>
      <c r="EH162" s="214"/>
      <c r="EI162" s="214"/>
      <c r="EJ162" s="214"/>
      <c r="EK162" s="214"/>
      <c r="EL162" s="214"/>
      <c r="EM162" s="214"/>
      <c r="EN162" s="214"/>
      <c r="EO162" s="214"/>
      <c r="EP162" s="214"/>
      <c r="EQ162" s="214"/>
      <c r="ER162" s="214"/>
      <c r="ES162" s="214"/>
      <c r="ET162" s="214"/>
      <c r="EU162" s="214"/>
      <c r="EV162" s="214"/>
      <c r="EW162" s="214"/>
      <c r="EX162" s="214"/>
      <c r="EY162" s="214"/>
      <c r="EZ162" s="214"/>
      <c r="FA162" s="214"/>
      <c r="FB162" s="214"/>
      <c r="FC162" s="214"/>
      <c r="FD162" s="214"/>
      <c r="FE162" s="214"/>
      <c r="FF162" s="214"/>
      <c r="FG162" s="214"/>
      <c r="FH162" s="214"/>
      <c r="FI162" s="214"/>
      <c r="FJ162" s="214"/>
      <c r="FK162" s="214"/>
      <c r="FL162" s="214"/>
      <c r="FM162" s="214"/>
      <c r="FN162" s="214"/>
      <c r="FO162" s="214"/>
      <c r="FP162" s="214"/>
      <c r="FQ162" s="214"/>
      <c r="FR162" s="214"/>
      <c r="FS162" s="214"/>
      <c r="FT162" s="214"/>
      <c r="FU162" s="214"/>
      <c r="FV162" s="214"/>
      <c r="FW162" s="214"/>
      <c r="FX162" s="214"/>
      <c r="FY162" s="214"/>
      <c r="FZ162" s="214"/>
      <c r="GA162" s="214"/>
      <c r="GB162" s="214"/>
      <c r="GC162" s="214"/>
      <c r="GD162" s="214"/>
      <c r="GE162" s="214"/>
      <c r="GF162" s="214"/>
      <c r="GG162" s="214"/>
      <c r="GH162" s="214"/>
      <c r="GI162" s="214"/>
      <c r="GJ162" s="214"/>
      <c r="GK162" s="214"/>
      <c r="GL162" s="214"/>
      <c r="GM162" s="214"/>
      <c r="GN162" s="214"/>
      <c r="GO162" s="214"/>
      <c r="GP162" s="214"/>
      <c r="GQ162" s="214"/>
      <c r="GR162" s="214"/>
      <c r="GS162" s="214"/>
      <c r="GT162" s="214"/>
      <c r="GU162" s="214"/>
      <c r="GV162" s="214"/>
      <c r="GW162" s="214"/>
      <c r="GX162" s="214"/>
      <c r="GY162" s="214"/>
      <c r="GZ162" s="214"/>
      <c r="HA162" s="214"/>
      <c r="HB162" s="214"/>
      <c r="HC162" s="214"/>
      <c r="HD162" s="214"/>
      <c r="HE162" s="214"/>
      <c r="HF162" s="214"/>
      <c r="HG162" s="214"/>
      <c r="HH162" s="214"/>
      <c r="HI162" s="214"/>
      <c r="HJ162" s="214"/>
      <c r="HK162" s="214"/>
      <c r="HL162" s="214"/>
      <c r="HM162" s="214"/>
      <c r="HN162" s="214"/>
      <c r="HO162" s="214"/>
      <c r="HP162" s="214"/>
      <c r="HQ162" s="214"/>
      <c r="HR162" s="214"/>
      <c r="HS162" s="214"/>
      <c r="HT162" s="214"/>
      <c r="HU162" s="214"/>
      <c r="HV162" s="214"/>
      <c r="HW162" s="214"/>
      <c r="HX162" s="214"/>
      <c r="HY162" s="214"/>
      <c r="HZ162" s="214"/>
      <c r="IA162" s="214"/>
      <c r="IB162" s="214"/>
      <c r="IC162" s="214"/>
      <c r="ID162" s="214"/>
      <c r="IE162" s="214"/>
      <c r="IF162" s="214"/>
      <c r="IG162" s="214"/>
      <c r="IH162" s="214"/>
      <c r="II162" s="214"/>
      <c r="IJ162" s="214"/>
      <c r="IK162" s="214"/>
      <c r="IL162" s="214"/>
      <c r="IM162" s="214"/>
      <c r="IN162" s="214"/>
      <c r="IO162" s="214"/>
      <c r="IP162" s="214"/>
      <c r="IQ162" s="214"/>
      <c r="IR162" s="214"/>
      <c r="IS162" s="214"/>
      <c r="IT162" s="214"/>
      <c r="IU162" s="214"/>
      <c r="IV162" s="214"/>
      <c r="IW162" s="214"/>
      <c r="IX162" s="214"/>
      <c r="IY162" s="214"/>
      <c r="IZ162" s="214"/>
      <c r="JA162" s="214"/>
      <c r="JB162" s="214"/>
      <c r="JC162" s="214"/>
      <c r="JD162" s="214"/>
      <c r="JE162" s="214"/>
      <c r="JF162" s="214"/>
      <c r="JG162" s="214"/>
      <c r="JH162" s="214"/>
      <c r="JI162" s="214"/>
    </row>
    <row r="163" spans="1:269">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c r="CG163" s="214"/>
      <c r="CH163" s="214"/>
      <c r="CI163" s="214"/>
      <c r="CJ163" s="214"/>
      <c r="CK163" s="214"/>
      <c r="CL163" s="214"/>
      <c r="CM163" s="214"/>
      <c r="CN163" s="214"/>
      <c r="CO163" s="214"/>
      <c r="CP163" s="214"/>
      <c r="CQ163" s="214"/>
      <c r="CR163" s="214"/>
      <c r="CS163" s="214"/>
      <c r="CT163" s="214"/>
      <c r="CU163" s="214"/>
      <c r="CV163" s="214"/>
      <c r="CW163" s="214"/>
      <c r="CX163" s="214"/>
      <c r="CY163" s="214"/>
      <c r="CZ163" s="214"/>
      <c r="DA163" s="214"/>
      <c r="DB163" s="214"/>
      <c r="DC163" s="214"/>
      <c r="DD163" s="214"/>
      <c r="DE163" s="214"/>
      <c r="DF163" s="214"/>
      <c r="DG163" s="214"/>
      <c r="DH163" s="214"/>
      <c r="DI163" s="214"/>
      <c r="DJ163" s="214"/>
      <c r="DK163" s="214"/>
      <c r="DL163" s="214"/>
      <c r="DM163" s="214"/>
      <c r="DN163" s="214"/>
      <c r="DO163" s="214"/>
      <c r="DP163" s="214"/>
      <c r="DQ163" s="214"/>
      <c r="DR163" s="214"/>
      <c r="DS163" s="214"/>
      <c r="DT163" s="214"/>
      <c r="DU163" s="214"/>
      <c r="DV163" s="214"/>
      <c r="DW163" s="214"/>
      <c r="DX163" s="214"/>
      <c r="DY163" s="214"/>
      <c r="DZ163" s="214"/>
      <c r="EA163" s="214"/>
      <c r="EB163" s="214"/>
      <c r="EC163" s="214"/>
      <c r="ED163" s="214"/>
      <c r="EE163" s="214"/>
      <c r="EF163" s="214"/>
      <c r="EG163" s="214"/>
      <c r="EH163" s="214"/>
      <c r="EI163" s="214"/>
      <c r="EJ163" s="214"/>
      <c r="EK163" s="214"/>
      <c r="EL163" s="214"/>
      <c r="EM163" s="214"/>
      <c r="EN163" s="214"/>
      <c r="EO163" s="214"/>
      <c r="EP163" s="214"/>
      <c r="EQ163" s="214"/>
      <c r="ER163" s="214"/>
      <c r="ES163" s="214"/>
      <c r="ET163" s="214"/>
      <c r="EU163" s="214"/>
      <c r="EV163" s="214"/>
      <c r="EW163" s="214"/>
      <c r="EX163" s="214"/>
      <c r="EY163" s="214"/>
      <c r="EZ163" s="214"/>
      <c r="FA163" s="214"/>
      <c r="FB163" s="214"/>
      <c r="FC163" s="214"/>
      <c r="FD163" s="214"/>
      <c r="FE163" s="214"/>
      <c r="FF163" s="214"/>
      <c r="FG163" s="214"/>
      <c r="FH163" s="214"/>
      <c r="FI163" s="214"/>
      <c r="FJ163" s="214"/>
      <c r="FK163" s="214"/>
      <c r="FL163" s="214"/>
      <c r="FM163" s="214"/>
      <c r="FN163" s="214"/>
      <c r="FO163" s="214"/>
      <c r="FP163" s="214"/>
      <c r="FQ163" s="214"/>
      <c r="FR163" s="214"/>
      <c r="FS163" s="214"/>
      <c r="FT163" s="214"/>
      <c r="FU163" s="214"/>
      <c r="FV163" s="214"/>
      <c r="FW163" s="214"/>
      <c r="FX163" s="214"/>
      <c r="FY163" s="214"/>
      <c r="FZ163" s="214"/>
      <c r="GA163" s="214"/>
      <c r="GB163" s="214"/>
      <c r="GC163" s="214"/>
      <c r="GD163" s="214"/>
      <c r="GE163" s="214"/>
      <c r="GF163" s="214"/>
      <c r="GG163" s="214"/>
      <c r="GH163" s="214"/>
      <c r="GI163" s="214"/>
      <c r="GJ163" s="214"/>
      <c r="GK163" s="214"/>
      <c r="GL163" s="214"/>
      <c r="GM163" s="214"/>
      <c r="GN163" s="214"/>
      <c r="GO163" s="214"/>
      <c r="GP163" s="214"/>
      <c r="GQ163" s="214"/>
      <c r="GR163" s="214"/>
      <c r="GS163" s="214"/>
      <c r="GT163" s="214"/>
      <c r="GU163" s="214"/>
      <c r="GV163" s="214"/>
      <c r="GW163" s="214"/>
      <c r="GX163" s="214"/>
      <c r="GY163" s="214"/>
      <c r="GZ163" s="214"/>
      <c r="HA163" s="214"/>
      <c r="HB163" s="214"/>
      <c r="HC163" s="214"/>
      <c r="HD163" s="214"/>
      <c r="HE163" s="214"/>
      <c r="HF163" s="214"/>
      <c r="HG163" s="214"/>
      <c r="HH163" s="214"/>
      <c r="HI163" s="214"/>
      <c r="HJ163" s="214"/>
      <c r="HK163" s="214"/>
      <c r="HL163" s="214"/>
      <c r="HM163" s="214"/>
      <c r="HN163" s="214"/>
      <c r="HO163" s="214"/>
      <c r="HP163" s="214"/>
      <c r="HQ163" s="214"/>
      <c r="HR163" s="214"/>
      <c r="HS163" s="214"/>
      <c r="HT163" s="214"/>
      <c r="HU163" s="214"/>
      <c r="HV163" s="214"/>
      <c r="HW163" s="214"/>
      <c r="HX163" s="214"/>
      <c r="HY163" s="214"/>
      <c r="HZ163" s="214"/>
      <c r="IA163" s="214"/>
      <c r="IB163" s="214"/>
      <c r="IC163" s="214"/>
      <c r="ID163" s="214"/>
      <c r="IE163" s="214"/>
      <c r="IF163" s="214"/>
      <c r="IG163" s="214"/>
      <c r="IH163" s="214"/>
      <c r="II163" s="214"/>
      <c r="IJ163" s="214"/>
      <c r="IK163" s="214"/>
      <c r="IL163" s="214"/>
      <c r="IM163" s="214"/>
      <c r="IN163" s="214"/>
      <c r="IO163" s="214"/>
      <c r="IP163" s="214"/>
      <c r="IQ163" s="214"/>
      <c r="IR163" s="214"/>
      <c r="IS163" s="214"/>
      <c r="IT163" s="214"/>
      <c r="IU163" s="214"/>
      <c r="IV163" s="214"/>
      <c r="IW163" s="214"/>
      <c r="IX163" s="214"/>
      <c r="IY163" s="214"/>
      <c r="IZ163" s="214"/>
      <c r="JA163" s="214"/>
      <c r="JB163" s="214"/>
      <c r="JC163" s="214"/>
      <c r="JD163" s="214"/>
      <c r="JE163" s="214"/>
      <c r="JF163" s="214"/>
      <c r="JG163" s="214"/>
      <c r="JH163" s="214"/>
      <c r="JI163" s="214"/>
    </row>
    <row r="164" spans="1:269">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c r="CG164" s="214"/>
      <c r="CH164" s="214"/>
      <c r="CI164" s="214"/>
      <c r="CJ164" s="214"/>
      <c r="CK164" s="214"/>
      <c r="CL164" s="214"/>
      <c r="CM164" s="214"/>
      <c r="CN164" s="214"/>
      <c r="CO164" s="214"/>
      <c r="CP164" s="214"/>
      <c r="CQ164" s="214"/>
      <c r="CR164" s="214"/>
      <c r="CS164" s="214"/>
      <c r="CT164" s="214"/>
      <c r="CU164" s="214"/>
      <c r="CV164" s="214"/>
      <c r="CW164" s="214"/>
      <c r="CX164" s="214"/>
      <c r="CY164" s="214"/>
      <c r="CZ164" s="214"/>
      <c r="DA164" s="214"/>
      <c r="DB164" s="214"/>
      <c r="DC164" s="214"/>
      <c r="DD164" s="214"/>
      <c r="DE164" s="214"/>
      <c r="DF164" s="214"/>
      <c r="DG164" s="214"/>
      <c r="DH164" s="214"/>
      <c r="DI164" s="214"/>
      <c r="DJ164" s="214"/>
      <c r="DK164" s="214"/>
      <c r="DL164" s="214"/>
      <c r="DM164" s="214"/>
      <c r="DN164" s="214"/>
      <c r="DO164" s="214"/>
      <c r="DP164" s="214"/>
      <c r="DQ164" s="214"/>
      <c r="DR164" s="214"/>
      <c r="DS164" s="214"/>
      <c r="DT164" s="214"/>
      <c r="DU164" s="214"/>
      <c r="DV164" s="214"/>
      <c r="DW164" s="214"/>
      <c r="DX164" s="214"/>
      <c r="DY164" s="214"/>
      <c r="DZ164" s="214"/>
      <c r="EA164" s="214"/>
      <c r="EB164" s="214"/>
      <c r="EC164" s="214"/>
      <c r="ED164" s="214"/>
      <c r="EE164" s="214"/>
      <c r="EF164" s="214"/>
      <c r="EG164" s="214"/>
      <c r="EH164" s="214"/>
      <c r="EI164" s="214"/>
      <c r="EJ164" s="214"/>
      <c r="EK164" s="214"/>
      <c r="EL164" s="214"/>
      <c r="EM164" s="214"/>
      <c r="EN164" s="214"/>
      <c r="EO164" s="214"/>
      <c r="EP164" s="214"/>
      <c r="EQ164" s="214"/>
      <c r="ER164" s="214"/>
      <c r="ES164" s="214"/>
      <c r="ET164" s="214"/>
      <c r="EU164" s="214"/>
      <c r="EV164" s="214"/>
      <c r="EW164" s="214"/>
      <c r="EX164" s="214"/>
      <c r="EY164" s="214"/>
      <c r="EZ164" s="214"/>
      <c r="FA164" s="214"/>
      <c r="FB164" s="214"/>
      <c r="FC164" s="214"/>
      <c r="FD164" s="214"/>
      <c r="FE164" s="214"/>
      <c r="FF164" s="214"/>
      <c r="FG164" s="214"/>
      <c r="FH164" s="214"/>
      <c r="FI164" s="214"/>
      <c r="FJ164" s="214"/>
      <c r="FK164" s="214"/>
      <c r="FL164" s="214"/>
      <c r="FM164" s="214"/>
      <c r="FN164" s="214"/>
      <c r="FO164" s="214"/>
      <c r="FP164" s="214"/>
      <c r="FQ164" s="214"/>
      <c r="FR164" s="214"/>
      <c r="FS164" s="214"/>
      <c r="FT164" s="214"/>
      <c r="FU164" s="214"/>
      <c r="FV164" s="214"/>
      <c r="FW164" s="214"/>
      <c r="FX164" s="214"/>
      <c r="FY164" s="214"/>
      <c r="FZ164" s="214"/>
      <c r="GA164" s="214"/>
      <c r="GB164" s="214"/>
      <c r="GC164" s="214"/>
      <c r="GD164" s="214"/>
      <c r="GE164" s="214"/>
      <c r="GF164" s="214"/>
      <c r="GG164" s="214"/>
      <c r="GH164" s="214"/>
      <c r="GI164" s="214"/>
      <c r="GJ164" s="214"/>
      <c r="GK164" s="214"/>
      <c r="GL164" s="214"/>
      <c r="GM164" s="214"/>
      <c r="GN164" s="214"/>
      <c r="GO164" s="214"/>
      <c r="GP164" s="214"/>
      <c r="GQ164" s="214"/>
      <c r="GR164" s="214"/>
      <c r="GS164" s="214"/>
      <c r="GT164" s="214"/>
      <c r="GU164" s="214"/>
      <c r="GV164" s="214"/>
      <c r="GW164" s="214"/>
      <c r="GX164" s="214"/>
      <c r="GY164" s="214"/>
      <c r="GZ164" s="214"/>
      <c r="HA164" s="214"/>
      <c r="HB164" s="214"/>
      <c r="HC164" s="214"/>
      <c r="HD164" s="214"/>
      <c r="HE164" s="214"/>
      <c r="HF164" s="214"/>
      <c r="HG164" s="214"/>
      <c r="HH164" s="214"/>
      <c r="HI164" s="214"/>
      <c r="HJ164" s="214"/>
      <c r="HK164" s="214"/>
      <c r="HL164" s="214"/>
      <c r="HM164" s="214"/>
      <c r="HN164" s="214"/>
      <c r="HO164" s="214"/>
      <c r="HP164" s="214"/>
      <c r="HQ164" s="214"/>
      <c r="HR164" s="214"/>
      <c r="HS164" s="214"/>
      <c r="HT164" s="214"/>
      <c r="HU164" s="214"/>
      <c r="HV164" s="214"/>
      <c r="HW164" s="214"/>
      <c r="HX164" s="214"/>
      <c r="HY164" s="214"/>
      <c r="HZ164" s="214"/>
      <c r="IA164" s="214"/>
      <c r="IB164" s="214"/>
      <c r="IC164" s="214"/>
      <c r="ID164" s="214"/>
      <c r="IE164" s="214"/>
      <c r="IF164" s="214"/>
      <c r="IG164" s="214"/>
      <c r="IH164" s="214"/>
      <c r="II164" s="214"/>
      <c r="IJ164" s="214"/>
      <c r="IK164" s="214"/>
      <c r="IL164" s="214"/>
      <c r="IM164" s="214"/>
      <c r="IN164" s="214"/>
      <c r="IO164" s="214"/>
      <c r="IP164" s="214"/>
      <c r="IQ164" s="214"/>
      <c r="IR164" s="214"/>
      <c r="IS164" s="214"/>
      <c r="IT164" s="214"/>
      <c r="IU164" s="214"/>
      <c r="IV164" s="214"/>
      <c r="IW164" s="214"/>
      <c r="IX164" s="214"/>
      <c r="IY164" s="214"/>
      <c r="IZ164" s="214"/>
      <c r="JA164" s="214"/>
      <c r="JB164" s="214"/>
      <c r="JC164" s="214"/>
      <c r="JD164" s="214"/>
      <c r="JE164" s="214"/>
      <c r="JF164" s="214"/>
      <c r="JG164" s="214"/>
      <c r="JH164" s="214"/>
      <c r="JI164" s="214"/>
    </row>
    <row r="165" spans="1:269">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c r="CG165" s="214"/>
      <c r="CH165" s="214"/>
      <c r="CI165" s="214"/>
      <c r="CJ165" s="214"/>
      <c r="CK165" s="214"/>
      <c r="CL165" s="214"/>
      <c r="CM165" s="214"/>
      <c r="CN165" s="214"/>
      <c r="CO165" s="214"/>
      <c r="CP165" s="214"/>
      <c r="CQ165" s="214"/>
      <c r="CR165" s="214"/>
      <c r="CS165" s="214"/>
      <c r="CT165" s="214"/>
      <c r="CU165" s="214"/>
      <c r="CV165" s="214"/>
      <c r="CW165" s="214"/>
      <c r="CX165" s="214"/>
      <c r="CY165" s="214"/>
      <c r="CZ165" s="214"/>
      <c r="DA165" s="214"/>
      <c r="DB165" s="214"/>
      <c r="DC165" s="214"/>
      <c r="DD165" s="214"/>
      <c r="DE165" s="214"/>
      <c r="DF165" s="214"/>
      <c r="DG165" s="214"/>
      <c r="DH165" s="214"/>
      <c r="DI165" s="214"/>
      <c r="DJ165" s="214"/>
      <c r="DK165" s="214"/>
      <c r="DL165" s="214"/>
      <c r="DM165" s="214"/>
      <c r="DN165" s="214"/>
      <c r="DO165" s="214"/>
      <c r="DP165" s="214"/>
      <c r="DQ165" s="214"/>
      <c r="DR165" s="214"/>
      <c r="DS165" s="214"/>
      <c r="DT165" s="214"/>
      <c r="DU165" s="214"/>
      <c r="DV165" s="214"/>
      <c r="DW165" s="214"/>
      <c r="DX165" s="214"/>
      <c r="DY165" s="214"/>
      <c r="DZ165" s="214"/>
      <c r="EA165" s="214"/>
      <c r="EB165" s="214"/>
      <c r="EC165" s="214"/>
      <c r="ED165" s="214"/>
      <c r="EE165" s="214"/>
      <c r="EF165" s="214"/>
      <c r="EG165" s="214"/>
      <c r="EH165" s="214"/>
      <c r="EI165" s="214"/>
      <c r="EJ165" s="214"/>
      <c r="EK165" s="214"/>
      <c r="EL165" s="214"/>
      <c r="EM165" s="214"/>
      <c r="EN165" s="214"/>
      <c r="EO165" s="214"/>
      <c r="EP165" s="214"/>
      <c r="EQ165" s="214"/>
      <c r="ER165" s="214"/>
      <c r="ES165" s="214"/>
      <c r="ET165" s="214"/>
      <c r="EU165" s="214"/>
      <c r="EV165" s="214"/>
      <c r="EW165" s="214"/>
      <c r="EX165" s="214"/>
      <c r="EY165" s="214"/>
      <c r="EZ165" s="214"/>
      <c r="FA165" s="214"/>
      <c r="FB165" s="214"/>
      <c r="FC165" s="214"/>
      <c r="FD165" s="214"/>
      <c r="FE165" s="214"/>
      <c r="FF165" s="214"/>
      <c r="FG165" s="214"/>
      <c r="FH165" s="214"/>
      <c r="FI165" s="214"/>
      <c r="FJ165" s="214"/>
      <c r="FK165" s="214"/>
      <c r="FL165" s="214"/>
      <c r="FM165" s="214"/>
      <c r="FN165" s="214"/>
      <c r="FO165" s="214"/>
      <c r="FP165" s="214"/>
      <c r="FQ165" s="214"/>
      <c r="FR165" s="214"/>
      <c r="FS165" s="214"/>
      <c r="FT165" s="214"/>
      <c r="FU165" s="214"/>
      <c r="FV165" s="214"/>
      <c r="FW165" s="214"/>
      <c r="FX165" s="214"/>
      <c r="FY165" s="214"/>
      <c r="FZ165" s="214"/>
      <c r="GA165" s="214"/>
      <c r="GB165" s="214"/>
      <c r="GC165" s="214"/>
      <c r="GD165" s="214"/>
      <c r="GE165" s="214"/>
      <c r="GF165" s="214"/>
      <c r="GG165" s="214"/>
      <c r="GH165" s="214"/>
      <c r="GI165" s="214"/>
      <c r="GJ165" s="214"/>
      <c r="GK165" s="214"/>
      <c r="GL165" s="214"/>
      <c r="GM165" s="214"/>
      <c r="GN165" s="214"/>
      <c r="GO165" s="214"/>
      <c r="GP165" s="214"/>
      <c r="GQ165" s="214"/>
      <c r="GR165" s="214"/>
      <c r="GS165" s="214"/>
      <c r="GT165" s="214"/>
      <c r="GU165" s="214"/>
      <c r="GV165" s="214"/>
      <c r="GW165" s="214"/>
      <c r="GX165" s="214"/>
      <c r="GY165" s="214"/>
      <c r="GZ165" s="214"/>
      <c r="HA165" s="214"/>
      <c r="HB165" s="214"/>
      <c r="HC165" s="214"/>
      <c r="HD165" s="214"/>
      <c r="HE165" s="214"/>
      <c r="HF165" s="214"/>
      <c r="HG165" s="214"/>
      <c r="HH165" s="214"/>
      <c r="HI165" s="214"/>
      <c r="HJ165" s="214"/>
      <c r="HK165" s="214"/>
      <c r="HL165" s="214"/>
      <c r="HM165" s="214"/>
      <c r="HN165" s="214"/>
      <c r="HO165" s="214"/>
      <c r="HP165" s="214"/>
      <c r="HQ165" s="214"/>
      <c r="HR165" s="214"/>
      <c r="HS165" s="214"/>
      <c r="HT165" s="214"/>
      <c r="HU165" s="214"/>
      <c r="HV165" s="214"/>
      <c r="HW165" s="214"/>
      <c r="HX165" s="214"/>
      <c r="HY165" s="214"/>
      <c r="HZ165" s="214"/>
      <c r="IA165" s="214"/>
      <c r="IB165" s="214"/>
      <c r="IC165" s="214"/>
      <c r="ID165" s="214"/>
      <c r="IE165" s="214"/>
      <c r="IF165" s="214"/>
      <c r="IG165" s="214"/>
      <c r="IH165" s="214"/>
      <c r="II165" s="214"/>
      <c r="IJ165" s="214"/>
      <c r="IK165" s="214"/>
      <c r="IL165" s="214"/>
      <c r="IM165" s="214"/>
      <c r="IN165" s="214"/>
      <c r="IO165" s="214"/>
      <c r="IP165" s="214"/>
      <c r="IQ165" s="214"/>
      <c r="IR165" s="214"/>
      <c r="IS165" s="214"/>
      <c r="IT165" s="214"/>
      <c r="IU165" s="214"/>
      <c r="IV165" s="214"/>
      <c r="IW165" s="214"/>
      <c r="IX165" s="214"/>
      <c r="IY165" s="214"/>
      <c r="IZ165" s="214"/>
      <c r="JA165" s="214"/>
      <c r="JB165" s="214"/>
      <c r="JC165" s="214"/>
      <c r="JD165" s="214"/>
      <c r="JE165" s="214"/>
      <c r="JF165" s="214"/>
      <c r="JG165" s="214"/>
      <c r="JH165" s="214"/>
      <c r="JI165" s="214"/>
    </row>
    <row r="166" spans="1:269">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c r="CG166" s="214"/>
      <c r="CH166" s="214"/>
      <c r="CI166" s="214"/>
      <c r="CJ166" s="214"/>
      <c r="CK166" s="214"/>
      <c r="CL166" s="214"/>
      <c r="CM166" s="214"/>
      <c r="CN166" s="214"/>
      <c r="CO166" s="214"/>
      <c r="CP166" s="214"/>
      <c r="CQ166" s="214"/>
      <c r="CR166" s="214"/>
      <c r="CS166" s="214"/>
      <c r="CT166" s="214"/>
      <c r="CU166" s="214"/>
      <c r="CV166" s="214"/>
      <c r="CW166" s="214"/>
      <c r="CX166" s="214"/>
      <c r="CY166" s="214"/>
      <c r="CZ166" s="214"/>
      <c r="DA166" s="214"/>
      <c r="DB166" s="214"/>
      <c r="DC166" s="214"/>
      <c r="DD166" s="214"/>
      <c r="DE166" s="214"/>
      <c r="DF166" s="214"/>
      <c r="DG166" s="214"/>
      <c r="DH166" s="214"/>
      <c r="DI166" s="214"/>
      <c r="DJ166" s="214"/>
      <c r="DK166" s="214"/>
      <c r="DL166" s="214"/>
      <c r="DM166" s="214"/>
      <c r="DN166" s="214"/>
      <c r="DO166" s="214"/>
      <c r="DP166" s="214"/>
      <c r="DQ166" s="214"/>
      <c r="DR166" s="214"/>
      <c r="DS166" s="214"/>
      <c r="DT166" s="214"/>
      <c r="DU166" s="214"/>
      <c r="DV166" s="214"/>
      <c r="DW166" s="214"/>
      <c r="DX166" s="214"/>
      <c r="DY166" s="214"/>
      <c r="DZ166" s="214"/>
      <c r="EA166" s="214"/>
      <c r="EB166" s="214"/>
      <c r="EC166" s="214"/>
      <c r="ED166" s="214"/>
      <c r="EE166" s="214"/>
      <c r="EF166" s="214"/>
      <c r="EG166" s="214"/>
      <c r="EH166" s="214"/>
      <c r="EI166" s="214"/>
      <c r="EJ166" s="214"/>
      <c r="EK166" s="214"/>
      <c r="EL166" s="214"/>
      <c r="EM166" s="214"/>
      <c r="EN166" s="214"/>
      <c r="EO166" s="214"/>
      <c r="EP166" s="214"/>
      <c r="EQ166" s="214"/>
      <c r="ER166" s="214"/>
      <c r="ES166" s="214"/>
      <c r="ET166" s="214"/>
      <c r="EU166" s="214"/>
      <c r="EV166" s="214"/>
      <c r="EW166" s="214"/>
      <c r="EX166" s="214"/>
      <c r="EY166" s="214"/>
      <c r="EZ166" s="214"/>
      <c r="FA166" s="214"/>
      <c r="FB166" s="214"/>
      <c r="FC166" s="214"/>
      <c r="FD166" s="214"/>
      <c r="FE166" s="214"/>
      <c r="FF166" s="214"/>
      <c r="FG166" s="214"/>
      <c r="FH166" s="214"/>
      <c r="FI166" s="214"/>
      <c r="FJ166" s="214"/>
      <c r="FK166" s="214"/>
      <c r="FL166" s="214"/>
      <c r="FM166" s="214"/>
      <c r="FN166" s="214"/>
      <c r="FO166" s="214"/>
      <c r="FP166" s="214"/>
      <c r="FQ166" s="214"/>
      <c r="FR166" s="214"/>
      <c r="FS166" s="214"/>
      <c r="FT166" s="214"/>
      <c r="FU166" s="214"/>
      <c r="FV166" s="214"/>
      <c r="FW166" s="214"/>
      <c r="FX166" s="214"/>
      <c r="FY166" s="214"/>
      <c r="FZ166" s="214"/>
      <c r="GA166" s="214"/>
      <c r="GB166" s="214"/>
      <c r="GC166" s="214"/>
      <c r="GD166" s="214"/>
      <c r="GE166" s="214"/>
      <c r="GF166" s="214"/>
      <c r="GG166" s="214"/>
      <c r="GH166" s="214"/>
      <c r="GI166" s="214"/>
      <c r="GJ166" s="214"/>
      <c r="GK166" s="214"/>
      <c r="GL166" s="214"/>
      <c r="GM166" s="214"/>
      <c r="GN166" s="214"/>
      <c r="GO166" s="214"/>
      <c r="GP166" s="214"/>
      <c r="GQ166" s="214"/>
      <c r="GR166" s="214"/>
      <c r="GS166" s="214"/>
      <c r="GT166" s="214"/>
      <c r="GU166" s="214"/>
      <c r="GV166" s="214"/>
      <c r="GW166" s="214"/>
      <c r="GX166" s="214"/>
      <c r="GY166" s="214"/>
      <c r="GZ166" s="214"/>
      <c r="HA166" s="214"/>
      <c r="HB166" s="214"/>
      <c r="HC166" s="214"/>
      <c r="HD166" s="214"/>
      <c r="HE166" s="214"/>
      <c r="HF166" s="214"/>
      <c r="HG166" s="214"/>
      <c r="HH166" s="214"/>
      <c r="HI166" s="214"/>
      <c r="HJ166" s="214"/>
      <c r="HK166" s="214"/>
      <c r="HL166" s="214"/>
      <c r="HM166" s="214"/>
      <c r="HN166" s="214"/>
      <c r="HO166" s="214"/>
      <c r="HP166" s="214"/>
      <c r="HQ166" s="214"/>
      <c r="HR166" s="214"/>
      <c r="HS166" s="214"/>
      <c r="HT166" s="214"/>
      <c r="HU166" s="214"/>
      <c r="HV166" s="214"/>
      <c r="HW166" s="214"/>
      <c r="HX166" s="214"/>
      <c r="HY166" s="214"/>
      <c r="HZ166" s="214"/>
      <c r="IA166" s="214"/>
      <c r="IB166" s="214"/>
      <c r="IC166" s="214"/>
      <c r="ID166" s="214"/>
      <c r="IE166" s="214"/>
      <c r="IF166" s="214"/>
      <c r="IG166" s="214"/>
      <c r="IH166" s="214"/>
      <c r="II166" s="214"/>
      <c r="IJ166" s="214"/>
      <c r="IK166" s="214"/>
      <c r="IL166" s="214"/>
      <c r="IM166" s="214"/>
      <c r="IN166" s="214"/>
      <c r="IO166" s="214"/>
      <c r="IP166" s="214"/>
      <c r="IQ166" s="214"/>
      <c r="IR166" s="214"/>
      <c r="IS166" s="214"/>
      <c r="IT166" s="214"/>
      <c r="IU166" s="214"/>
      <c r="IV166" s="214"/>
      <c r="IW166" s="214"/>
      <c r="IX166" s="214"/>
      <c r="IY166" s="214"/>
      <c r="IZ166" s="214"/>
      <c r="JA166" s="214"/>
      <c r="JB166" s="214"/>
      <c r="JC166" s="214"/>
      <c r="JD166" s="214"/>
      <c r="JE166" s="214"/>
      <c r="JF166" s="214"/>
      <c r="JG166" s="214"/>
      <c r="JH166" s="214"/>
      <c r="JI166" s="214"/>
    </row>
    <row r="167" spans="1:269">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c r="CG167" s="214"/>
      <c r="CH167" s="214"/>
      <c r="CI167" s="214"/>
      <c r="CJ167" s="214"/>
      <c r="CK167" s="214"/>
      <c r="CL167" s="214"/>
      <c r="CM167" s="214"/>
      <c r="CN167" s="214"/>
      <c r="CO167" s="214"/>
      <c r="CP167" s="214"/>
      <c r="CQ167" s="214"/>
      <c r="CR167" s="214"/>
      <c r="CS167" s="214"/>
      <c r="CT167" s="214"/>
      <c r="CU167" s="214"/>
      <c r="CV167" s="214"/>
      <c r="CW167" s="214"/>
      <c r="CX167" s="214"/>
      <c r="CY167" s="214"/>
      <c r="CZ167" s="214"/>
      <c r="DA167" s="214"/>
      <c r="DB167" s="214"/>
      <c r="DC167" s="214"/>
      <c r="DD167" s="214"/>
      <c r="DE167" s="214"/>
      <c r="DF167" s="214"/>
      <c r="DG167" s="214"/>
      <c r="DH167" s="214"/>
      <c r="DI167" s="214"/>
      <c r="DJ167" s="214"/>
      <c r="DK167" s="214"/>
      <c r="DL167" s="214"/>
      <c r="DM167" s="214"/>
      <c r="DN167" s="214"/>
      <c r="DO167" s="214"/>
      <c r="DP167" s="214"/>
      <c r="DQ167" s="214"/>
      <c r="DR167" s="214"/>
      <c r="DS167" s="214"/>
      <c r="DT167" s="214"/>
      <c r="DU167" s="214"/>
      <c r="DV167" s="214"/>
      <c r="DW167" s="214"/>
      <c r="DX167" s="214"/>
      <c r="DY167" s="214"/>
      <c r="DZ167" s="214"/>
      <c r="EA167" s="214"/>
      <c r="EB167" s="214"/>
      <c r="EC167" s="214"/>
      <c r="ED167" s="214"/>
      <c r="EE167" s="214"/>
      <c r="EF167" s="214"/>
      <c r="EG167" s="214"/>
      <c r="EH167" s="214"/>
      <c r="EI167" s="214"/>
      <c r="EJ167" s="214"/>
      <c r="EK167" s="214"/>
      <c r="EL167" s="214"/>
      <c r="EM167" s="214"/>
      <c r="EN167" s="214"/>
      <c r="EO167" s="214"/>
      <c r="EP167" s="214"/>
      <c r="EQ167" s="214"/>
      <c r="ER167" s="214"/>
      <c r="ES167" s="214"/>
      <c r="ET167" s="214"/>
      <c r="EU167" s="214"/>
      <c r="EV167" s="214"/>
      <c r="EW167" s="214"/>
      <c r="EX167" s="214"/>
      <c r="EY167" s="214"/>
      <c r="EZ167" s="214"/>
      <c r="FA167" s="214"/>
      <c r="FB167" s="214"/>
      <c r="FC167" s="214"/>
      <c r="FD167" s="214"/>
      <c r="FE167" s="214"/>
      <c r="FF167" s="214"/>
      <c r="FG167" s="214"/>
      <c r="FH167" s="214"/>
      <c r="FI167" s="214"/>
      <c r="FJ167" s="214"/>
      <c r="FK167" s="214"/>
      <c r="FL167" s="214"/>
      <c r="FM167" s="214"/>
      <c r="FN167" s="214"/>
      <c r="FO167" s="214"/>
      <c r="FP167" s="214"/>
      <c r="FQ167" s="214"/>
      <c r="FR167" s="214"/>
      <c r="FS167" s="214"/>
      <c r="FT167" s="214"/>
      <c r="FU167" s="214"/>
      <c r="FV167" s="214"/>
      <c r="FW167" s="214"/>
      <c r="FX167" s="214"/>
      <c r="FY167" s="214"/>
      <c r="FZ167" s="214"/>
      <c r="GA167" s="214"/>
      <c r="GB167" s="214"/>
      <c r="GC167" s="214"/>
      <c r="GD167" s="214"/>
      <c r="GE167" s="214"/>
      <c r="GF167" s="214"/>
      <c r="GG167" s="214"/>
      <c r="GH167" s="214"/>
      <c r="GI167" s="214"/>
      <c r="GJ167" s="214"/>
      <c r="GK167" s="214"/>
      <c r="GL167" s="214"/>
      <c r="GM167" s="214"/>
      <c r="GN167" s="214"/>
      <c r="GO167" s="214"/>
      <c r="GP167" s="214"/>
      <c r="GQ167" s="214"/>
      <c r="GR167" s="214"/>
      <c r="GS167" s="214"/>
      <c r="GT167" s="214"/>
      <c r="GU167" s="214"/>
      <c r="GV167" s="214"/>
      <c r="GW167" s="214"/>
      <c r="GX167" s="214"/>
      <c r="GY167" s="214"/>
      <c r="GZ167" s="214"/>
      <c r="HA167" s="214"/>
      <c r="HB167" s="214"/>
      <c r="HC167" s="214"/>
      <c r="HD167" s="214"/>
      <c r="HE167" s="214"/>
      <c r="HF167" s="214"/>
      <c r="HG167" s="214"/>
      <c r="HH167" s="214"/>
      <c r="HI167" s="214"/>
      <c r="HJ167" s="214"/>
      <c r="HK167" s="214"/>
      <c r="HL167" s="214"/>
      <c r="HM167" s="214"/>
      <c r="HN167" s="214"/>
      <c r="HO167" s="214"/>
      <c r="HP167" s="214"/>
      <c r="HQ167" s="214"/>
      <c r="HR167" s="214"/>
      <c r="HS167" s="214"/>
      <c r="HT167" s="214"/>
      <c r="HU167" s="214"/>
      <c r="HV167" s="214"/>
      <c r="HW167" s="214"/>
      <c r="HX167" s="214"/>
      <c r="HY167" s="214"/>
      <c r="HZ167" s="214"/>
      <c r="IA167" s="214"/>
      <c r="IB167" s="214"/>
      <c r="IC167" s="214"/>
      <c r="ID167" s="214"/>
      <c r="IE167" s="214"/>
      <c r="IF167" s="214"/>
      <c r="IG167" s="214"/>
      <c r="IH167" s="214"/>
      <c r="II167" s="214"/>
      <c r="IJ167" s="214"/>
      <c r="IK167" s="214"/>
      <c r="IL167" s="214"/>
      <c r="IM167" s="214"/>
      <c r="IN167" s="214"/>
      <c r="IO167" s="214"/>
      <c r="IP167" s="214"/>
      <c r="IQ167" s="214"/>
      <c r="IR167" s="214"/>
      <c r="IS167" s="214"/>
      <c r="IT167" s="214"/>
      <c r="IU167" s="214"/>
      <c r="IV167" s="214"/>
      <c r="IW167" s="214"/>
      <c r="IX167" s="214"/>
      <c r="IY167" s="214"/>
      <c r="IZ167" s="214"/>
      <c r="JA167" s="214"/>
      <c r="JB167" s="214"/>
      <c r="JC167" s="214"/>
      <c r="JD167" s="214"/>
      <c r="JE167" s="214"/>
      <c r="JF167" s="214"/>
      <c r="JG167" s="214"/>
      <c r="JH167" s="214"/>
      <c r="JI167" s="214"/>
    </row>
    <row r="168" spans="1:269">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c r="CG168" s="214"/>
      <c r="CH168" s="214"/>
      <c r="CI168" s="214"/>
      <c r="CJ168" s="214"/>
      <c r="CK168" s="214"/>
      <c r="CL168" s="214"/>
      <c r="CM168" s="214"/>
      <c r="CN168" s="214"/>
      <c r="CO168" s="214"/>
      <c r="CP168" s="214"/>
      <c r="CQ168" s="214"/>
      <c r="CR168" s="214"/>
      <c r="CS168" s="214"/>
      <c r="CT168" s="214"/>
      <c r="CU168" s="214"/>
      <c r="CV168" s="214"/>
      <c r="CW168" s="214"/>
      <c r="CX168" s="214"/>
      <c r="CY168" s="214"/>
      <c r="CZ168" s="214"/>
      <c r="DA168" s="214"/>
      <c r="DB168" s="214"/>
      <c r="DC168" s="214"/>
      <c r="DD168" s="214"/>
      <c r="DE168" s="214"/>
      <c r="DF168" s="214"/>
      <c r="DG168" s="214"/>
      <c r="DH168" s="214"/>
      <c r="DI168" s="214"/>
      <c r="DJ168" s="214"/>
      <c r="DK168" s="214"/>
      <c r="DL168" s="214"/>
      <c r="DM168" s="214"/>
      <c r="DN168" s="214"/>
      <c r="DO168" s="214"/>
      <c r="DP168" s="214"/>
      <c r="DQ168" s="214"/>
      <c r="DR168" s="214"/>
      <c r="DS168" s="214"/>
      <c r="DT168" s="214"/>
      <c r="DU168" s="214"/>
      <c r="DV168" s="214"/>
      <c r="DW168" s="214"/>
      <c r="DX168" s="214"/>
      <c r="DY168" s="214"/>
      <c r="DZ168" s="214"/>
      <c r="EA168" s="214"/>
      <c r="EB168" s="214"/>
      <c r="EC168" s="214"/>
      <c r="ED168" s="214"/>
      <c r="EE168" s="214"/>
      <c r="EF168" s="214"/>
      <c r="EG168" s="214"/>
      <c r="EH168" s="214"/>
      <c r="EI168" s="214"/>
      <c r="EJ168" s="214"/>
      <c r="EK168" s="214"/>
      <c r="EL168" s="214"/>
      <c r="EM168" s="214"/>
      <c r="EN168" s="214"/>
      <c r="EO168" s="214"/>
      <c r="EP168" s="214"/>
      <c r="EQ168" s="214"/>
      <c r="ER168" s="214"/>
      <c r="ES168" s="214"/>
      <c r="ET168" s="214"/>
      <c r="EU168" s="214"/>
      <c r="EV168" s="214"/>
      <c r="EW168" s="214"/>
      <c r="EX168" s="214"/>
      <c r="EY168" s="214"/>
      <c r="EZ168" s="214"/>
      <c r="FA168" s="214"/>
      <c r="FB168" s="214"/>
      <c r="FC168" s="214"/>
      <c r="FD168" s="214"/>
      <c r="FE168" s="214"/>
      <c r="FF168" s="214"/>
      <c r="FG168" s="214"/>
      <c r="FH168" s="214"/>
      <c r="FI168" s="214"/>
      <c r="FJ168" s="214"/>
      <c r="FK168" s="214"/>
      <c r="FL168" s="214"/>
      <c r="FM168" s="214"/>
      <c r="FN168" s="214"/>
      <c r="FO168" s="214"/>
      <c r="FP168" s="214"/>
      <c r="FQ168" s="214"/>
      <c r="FR168" s="214"/>
      <c r="FS168" s="214"/>
      <c r="FT168" s="214"/>
      <c r="FU168" s="214"/>
      <c r="FV168" s="214"/>
      <c r="FW168" s="214"/>
      <c r="FX168" s="214"/>
      <c r="FY168" s="214"/>
      <c r="FZ168" s="214"/>
      <c r="GA168" s="214"/>
      <c r="GB168" s="214"/>
      <c r="GC168" s="214"/>
      <c r="GD168" s="214"/>
      <c r="GE168" s="214"/>
      <c r="GF168" s="214"/>
      <c r="GG168" s="214"/>
      <c r="GH168" s="214"/>
      <c r="GI168" s="214"/>
      <c r="GJ168" s="214"/>
      <c r="GK168" s="214"/>
      <c r="GL168" s="214"/>
      <c r="GM168" s="214"/>
      <c r="GN168" s="214"/>
      <c r="GO168" s="214"/>
      <c r="GP168" s="214"/>
      <c r="GQ168" s="214"/>
      <c r="GR168" s="214"/>
      <c r="GS168" s="214"/>
      <c r="GT168" s="214"/>
      <c r="GU168" s="214"/>
      <c r="GV168" s="214"/>
      <c r="GW168" s="214"/>
      <c r="GX168" s="214"/>
      <c r="GY168" s="214"/>
      <c r="GZ168" s="214"/>
      <c r="HA168" s="214"/>
      <c r="HB168" s="214"/>
      <c r="HC168" s="214"/>
      <c r="HD168" s="214"/>
      <c r="HE168" s="214"/>
      <c r="HF168" s="214"/>
      <c r="HG168" s="214"/>
      <c r="HH168" s="214"/>
      <c r="HI168" s="214"/>
      <c r="HJ168" s="214"/>
      <c r="HK168" s="214"/>
      <c r="HL168" s="214"/>
      <c r="HM168" s="214"/>
      <c r="HN168" s="214"/>
      <c r="HO168" s="214"/>
      <c r="HP168" s="214"/>
      <c r="HQ168" s="214"/>
      <c r="HR168" s="214"/>
      <c r="HS168" s="214"/>
      <c r="HT168" s="214"/>
      <c r="HU168" s="214"/>
      <c r="HV168" s="214"/>
      <c r="HW168" s="214"/>
      <c r="HX168" s="214"/>
      <c r="HY168" s="214"/>
      <c r="HZ168" s="214"/>
      <c r="IA168" s="214"/>
      <c r="IB168" s="214"/>
      <c r="IC168" s="214"/>
      <c r="ID168" s="214"/>
      <c r="IE168" s="214"/>
      <c r="IF168" s="214"/>
      <c r="IG168" s="214"/>
      <c r="IH168" s="214"/>
      <c r="II168" s="214"/>
      <c r="IJ168" s="214"/>
      <c r="IK168" s="214"/>
      <c r="IL168" s="214"/>
      <c r="IM168" s="214"/>
      <c r="IN168" s="214"/>
      <c r="IO168" s="214"/>
      <c r="IP168" s="214"/>
      <c r="IQ168" s="214"/>
      <c r="IR168" s="214"/>
      <c r="IS168" s="214"/>
      <c r="IT168" s="214"/>
      <c r="IU168" s="214"/>
      <c r="IV168" s="214"/>
      <c r="IW168" s="214"/>
      <c r="IX168" s="214"/>
      <c r="IY168" s="214"/>
      <c r="IZ168" s="214"/>
      <c r="JA168" s="214"/>
      <c r="JB168" s="214"/>
      <c r="JC168" s="214"/>
      <c r="JD168" s="214"/>
      <c r="JE168" s="214"/>
      <c r="JF168" s="214"/>
      <c r="JG168" s="214"/>
      <c r="JH168" s="214"/>
      <c r="JI168" s="214"/>
    </row>
    <row r="169" spans="1:269">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c r="CG169" s="214"/>
      <c r="CH169" s="214"/>
      <c r="CI169" s="214"/>
      <c r="CJ169" s="214"/>
      <c r="CK169" s="214"/>
      <c r="CL169" s="214"/>
      <c r="CM169" s="214"/>
      <c r="CN169" s="214"/>
      <c r="CO169" s="214"/>
      <c r="CP169" s="214"/>
      <c r="CQ169" s="214"/>
      <c r="CR169" s="214"/>
      <c r="CS169" s="214"/>
      <c r="CT169" s="214"/>
      <c r="CU169" s="214"/>
      <c r="CV169" s="214"/>
      <c r="CW169" s="214"/>
      <c r="CX169" s="214"/>
      <c r="CY169" s="214"/>
      <c r="CZ169" s="214"/>
      <c r="DA169" s="214"/>
      <c r="DB169" s="214"/>
      <c r="DC169" s="214"/>
      <c r="DD169" s="214"/>
      <c r="DE169" s="214"/>
      <c r="DF169" s="214"/>
      <c r="DG169" s="214"/>
      <c r="DH169" s="214"/>
      <c r="DI169" s="214"/>
      <c r="DJ169" s="214"/>
      <c r="DK169" s="214"/>
      <c r="DL169" s="214"/>
      <c r="DM169" s="214"/>
      <c r="DN169" s="214"/>
      <c r="DO169" s="214"/>
      <c r="DP169" s="214"/>
      <c r="DQ169" s="214"/>
      <c r="DR169" s="214"/>
      <c r="DS169" s="214"/>
      <c r="DT169" s="214"/>
      <c r="DU169" s="214"/>
      <c r="DV169" s="214"/>
      <c r="DW169" s="214"/>
      <c r="DX169" s="214"/>
      <c r="DY169" s="214"/>
      <c r="DZ169" s="214"/>
      <c r="EA169" s="214"/>
      <c r="EB169" s="214"/>
      <c r="EC169" s="214"/>
      <c r="ED169" s="214"/>
      <c r="EE169" s="214"/>
      <c r="EF169" s="214"/>
      <c r="EG169" s="214"/>
      <c r="EH169" s="214"/>
      <c r="EI169" s="214"/>
      <c r="EJ169" s="214"/>
      <c r="EK169" s="214"/>
      <c r="EL169" s="214"/>
      <c r="EM169" s="214"/>
      <c r="EN169" s="214"/>
      <c r="EO169" s="214"/>
      <c r="EP169" s="214"/>
      <c r="EQ169" s="214"/>
      <c r="ER169" s="214"/>
      <c r="ES169" s="214"/>
      <c r="ET169" s="214"/>
      <c r="EU169" s="214"/>
      <c r="EV169" s="214"/>
      <c r="EW169" s="214"/>
      <c r="EX169" s="214"/>
      <c r="EY169" s="214"/>
      <c r="EZ169" s="214"/>
      <c r="FA169" s="214"/>
      <c r="FB169" s="214"/>
      <c r="FC169" s="214"/>
      <c r="FD169" s="214"/>
      <c r="FE169" s="214"/>
      <c r="FF169" s="214"/>
      <c r="FG169" s="214"/>
      <c r="FH169" s="214"/>
      <c r="FI169" s="214"/>
      <c r="FJ169" s="214"/>
      <c r="FK169" s="214"/>
      <c r="FL169" s="214"/>
      <c r="FM169" s="214"/>
      <c r="FN169" s="214"/>
      <c r="FO169" s="214"/>
      <c r="FP169" s="214"/>
      <c r="FQ169" s="214"/>
      <c r="FR169" s="214"/>
      <c r="FS169" s="214"/>
      <c r="FT169" s="214"/>
      <c r="FU169" s="214"/>
      <c r="FV169" s="214"/>
      <c r="FW169" s="214"/>
      <c r="FX169" s="214"/>
      <c r="FY169" s="214"/>
      <c r="FZ169" s="214"/>
      <c r="GA169" s="214"/>
      <c r="GB169" s="214"/>
      <c r="GC169" s="214"/>
      <c r="GD169" s="214"/>
      <c r="GE169" s="214"/>
      <c r="GF169" s="214"/>
      <c r="GG169" s="214"/>
      <c r="GH169" s="214"/>
      <c r="GI169" s="214"/>
      <c r="GJ169" s="214"/>
      <c r="GK169" s="214"/>
      <c r="GL169" s="214"/>
      <c r="GM169" s="214"/>
      <c r="GN169" s="214"/>
      <c r="GO169" s="214"/>
      <c r="GP169" s="214"/>
      <c r="GQ169" s="214"/>
      <c r="GR169" s="214"/>
      <c r="GS169" s="214"/>
      <c r="GT169" s="214"/>
      <c r="GU169" s="214"/>
      <c r="GV169" s="214"/>
      <c r="GW169" s="214"/>
      <c r="GX169" s="214"/>
      <c r="GY169" s="214"/>
      <c r="GZ169" s="214"/>
      <c r="HA169" s="214"/>
      <c r="HB169" s="214"/>
      <c r="HC169" s="214"/>
      <c r="HD169" s="214"/>
      <c r="HE169" s="214"/>
      <c r="HF169" s="214"/>
      <c r="HG169" s="214"/>
      <c r="HH169" s="214"/>
      <c r="HI169" s="214"/>
      <c r="HJ169" s="214"/>
      <c r="HK169" s="214"/>
      <c r="HL169" s="214"/>
      <c r="HM169" s="214"/>
      <c r="HN169" s="214"/>
      <c r="HO169" s="214"/>
      <c r="HP169" s="214"/>
      <c r="HQ169" s="214"/>
      <c r="HR169" s="214"/>
      <c r="HS169" s="214"/>
      <c r="HT169" s="214"/>
      <c r="HU169" s="214"/>
      <c r="HV169" s="214"/>
      <c r="HW169" s="214"/>
      <c r="HX169" s="214"/>
      <c r="HY169" s="214"/>
      <c r="HZ169" s="214"/>
      <c r="IA169" s="214"/>
      <c r="IB169" s="214"/>
      <c r="IC169" s="214"/>
      <c r="ID169" s="214"/>
      <c r="IE169" s="214"/>
      <c r="IF169" s="214"/>
      <c r="IG169" s="214"/>
      <c r="IH169" s="214"/>
      <c r="II169" s="214"/>
      <c r="IJ169" s="214"/>
      <c r="IK169" s="214"/>
      <c r="IL169" s="214"/>
      <c r="IM169" s="214"/>
      <c r="IN169" s="214"/>
      <c r="IO169" s="214"/>
      <c r="IP169" s="214"/>
      <c r="IQ169" s="214"/>
      <c r="IR169" s="214"/>
      <c r="IS169" s="214"/>
      <c r="IT169" s="214"/>
      <c r="IU169" s="214"/>
      <c r="IV169" s="214"/>
      <c r="IW169" s="214"/>
      <c r="IX169" s="214"/>
      <c r="IY169" s="214"/>
      <c r="IZ169" s="214"/>
      <c r="JA169" s="214"/>
      <c r="JB169" s="214"/>
      <c r="JC169" s="214"/>
      <c r="JD169" s="214"/>
      <c r="JE169" s="214"/>
      <c r="JF169" s="214"/>
      <c r="JG169" s="214"/>
      <c r="JH169" s="214"/>
      <c r="JI169" s="214"/>
    </row>
    <row r="170" spans="1:269">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c r="CG170" s="214"/>
      <c r="CH170" s="214"/>
      <c r="CI170" s="214"/>
      <c r="CJ170" s="214"/>
      <c r="CK170" s="214"/>
      <c r="CL170" s="214"/>
      <c r="CM170" s="214"/>
      <c r="CN170" s="214"/>
      <c r="CO170" s="214"/>
      <c r="CP170" s="214"/>
      <c r="CQ170" s="214"/>
      <c r="CR170" s="214"/>
      <c r="CS170" s="214"/>
      <c r="CT170" s="214"/>
      <c r="CU170" s="214"/>
      <c r="CV170" s="214"/>
      <c r="CW170" s="214"/>
      <c r="CX170" s="214"/>
      <c r="CY170" s="214"/>
      <c r="CZ170" s="214"/>
      <c r="DA170" s="214"/>
      <c r="DB170" s="214"/>
      <c r="DC170" s="214"/>
      <c r="DD170" s="214"/>
      <c r="DE170" s="214"/>
      <c r="DF170" s="214"/>
      <c r="DG170" s="214"/>
      <c r="DH170" s="214"/>
      <c r="DI170" s="214"/>
      <c r="DJ170" s="214"/>
      <c r="DK170" s="214"/>
      <c r="DL170" s="214"/>
      <c r="DM170" s="214"/>
      <c r="DN170" s="214"/>
      <c r="DO170" s="214"/>
      <c r="DP170" s="214"/>
      <c r="DQ170" s="214"/>
      <c r="DR170" s="214"/>
      <c r="DS170" s="214"/>
      <c r="DT170" s="214"/>
      <c r="DU170" s="214"/>
      <c r="DV170" s="214"/>
      <c r="DW170" s="214"/>
      <c r="DX170" s="214"/>
      <c r="DY170" s="214"/>
      <c r="DZ170" s="214"/>
      <c r="EA170" s="214"/>
      <c r="EB170" s="214"/>
      <c r="EC170" s="214"/>
      <c r="ED170" s="214"/>
      <c r="EE170" s="214"/>
      <c r="EF170" s="214"/>
      <c r="EG170" s="214"/>
      <c r="EH170" s="214"/>
      <c r="EI170" s="214"/>
      <c r="EJ170" s="214"/>
      <c r="EK170" s="214"/>
      <c r="EL170" s="214"/>
      <c r="EM170" s="214"/>
      <c r="EN170" s="214"/>
      <c r="EO170" s="214"/>
      <c r="EP170" s="214"/>
      <c r="EQ170" s="214"/>
      <c r="ER170" s="214"/>
      <c r="ES170" s="214"/>
      <c r="ET170" s="214"/>
      <c r="EU170" s="214"/>
      <c r="EV170" s="214"/>
      <c r="EW170" s="214"/>
      <c r="EX170" s="214"/>
      <c r="EY170" s="214"/>
      <c r="EZ170" s="214"/>
      <c r="FA170" s="214"/>
      <c r="FB170" s="214"/>
      <c r="FC170" s="214"/>
      <c r="FD170" s="214"/>
      <c r="FE170" s="214"/>
      <c r="FF170" s="214"/>
      <c r="FG170" s="214"/>
      <c r="FH170" s="214"/>
      <c r="FI170" s="214"/>
      <c r="FJ170" s="214"/>
      <c r="FK170" s="214"/>
      <c r="FL170" s="214"/>
      <c r="FM170" s="214"/>
      <c r="FN170" s="214"/>
      <c r="FO170" s="214"/>
      <c r="FP170" s="214"/>
      <c r="FQ170" s="214"/>
      <c r="FR170" s="214"/>
      <c r="FS170" s="214"/>
      <c r="FT170" s="214"/>
      <c r="FU170" s="214"/>
      <c r="FV170" s="214"/>
      <c r="FW170" s="214"/>
      <c r="FX170" s="214"/>
      <c r="FY170" s="214"/>
      <c r="FZ170" s="214"/>
      <c r="GA170" s="214"/>
      <c r="GB170" s="214"/>
      <c r="GC170" s="214"/>
      <c r="GD170" s="214"/>
      <c r="GE170" s="214"/>
      <c r="GF170" s="214"/>
      <c r="GG170" s="214"/>
      <c r="GH170" s="214"/>
      <c r="GI170" s="214"/>
      <c r="GJ170" s="214"/>
      <c r="GK170" s="214"/>
      <c r="GL170" s="214"/>
      <c r="GM170" s="214"/>
      <c r="GN170" s="214"/>
      <c r="GO170" s="214"/>
      <c r="GP170" s="214"/>
      <c r="GQ170" s="214"/>
      <c r="GR170" s="214"/>
      <c r="GS170" s="214"/>
      <c r="GT170" s="214"/>
      <c r="GU170" s="214"/>
      <c r="GV170" s="214"/>
      <c r="GW170" s="214"/>
      <c r="GX170" s="214"/>
      <c r="GY170" s="214"/>
      <c r="GZ170" s="214"/>
      <c r="HA170" s="214"/>
      <c r="HB170" s="214"/>
      <c r="HC170" s="214"/>
      <c r="HD170" s="214"/>
      <c r="HE170" s="214"/>
      <c r="HF170" s="214"/>
      <c r="HG170" s="214"/>
      <c r="HH170" s="214"/>
      <c r="HI170" s="214"/>
      <c r="HJ170" s="214"/>
      <c r="HK170" s="214"/>
      <c r="HL170" s="214"/>
      <c r="HM170" s="214"/>
      <c r="HN170" s="214"/>
      <c r="HO170" s="214"/>
      <c r="HP170" s="214"/>
      <c r="HQ170" s="214"/>
      <c r="HR170" s="214"/>
      <c r="HS170" s="214"/>
      <c r="HT170" s="214"/>
      <c r="HU170" s="214"/>
      <c r="HV170" s="214"/>
      <c r="HW170" s="214"/>
      <c r="HX170" s="214"/>
      <c r="HY170" s="214"/>
      <c r="HZ170" s="214"/>
      <c r="IA170" s="214"/>
      <c r="IB170" s="214"/>
      <c r="IC170" s="214"/>
      <c r="ID170" s="214"/>
      <c r="IE170" s="214"/>
      <c r="IF170" s="214"/>
      <c r="IG170" s="214"/>
      <c r="IH170" s="214"/>
      <c r="II170" s="214"/>
      <c r="IJ170" s="214"/>
      <c r="IK170" s="214"/>
      <c r="IL170" s="214"/>
      <c r="IM170" s="214"/>
      <c r="IN170" s="214"/>
      <c r="IO170" s="214"/>
      <c r="IP170" s="214"/>
      <c r="IQ170" s="214"/>
      <c r="IR170" s="214"/>
      <c r="IS170" s="214"/>
      <c r="IT170" s="214"/>
      <c r="IU170" s="214"/>
      <c r="IV170" s="214"/>
      <c r="IW170" s="214"/>
      <c r="IX170" s="214"/>
      <c r="IY170" s="214"/>
      <c r="IZ170" s="214"/>
      <c r="JA170" s="214"/>
      <c r="JB170" s="214"/>
      <c r="JC170" s="214"/>
      <c r="JD170" s="214"/>
      <c r="JE170" s="214"/>
      <c r="JF170" s="214"/>
      <c r="JG170" s="214"/>
      <c r="JH170" s="214"/>
      <c r="JI170" s="214"/>
    </row>
    <row r="171" spans="1:269">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c r="CG171" s="214"/>
      <c r="CH171" s="214"/>
      <c r="CI171" s="214"/>
      <c r="CJ171" s="214"/>
      <c r="CK171" s="214"/>
      <c r="CL171" s="214"/>
      <c r="CM171" s="214"/>
      <c r="CN171" s="214"/>
      <c r="CO171" s="214"/>
      <c r="CP171" s="214"/>
      <c r="CQ171" s="214"/>
      <c r="CR171" s="214"/>
      <c r="CS171" s="214"/>
      <c r="CT171" s="214"/>
      <c r="CU171" s="214"/>
      <c r="CV171" s="214"/>
      <c r="CW171" s="214"/>
      <c r="CX171" s="214"/>
      <c r="CY171" s="214"/>
      <c r="CZ171" s="214"/>
      <c r="DA171" s="214"/>
      <c r="DB171" s="214"/>
      <c r="DC171" s="214"/>
      <c r="DD171" s="214"/>
      <c r="DE171" s="214"/>
      <c r="DF171" s="214"/>
      <c r="DG171" s="214"/>
      <c r="DH171" s="214"/>
      <c r="DI171" s="214"/>
      <c r="DJ171" s="214"/>
      <c r="DK171" s="214"/>
      <c r="DL171" s="214"/>
      <c r="DM171" s="214"/>
      <c r="DN171" s="214"/>
      <c r="DO171" s="214"/>
      <c r="DP171" s="214"/>
      <c r="DQ171" s="214"/>
      <c r="DR171" s="214"/>
      <c r="DS171" s="214"/>
      <c r="DT171" s="214"/>
      <c r="DU171" s="214"/>
      <c r="DV171" s="214"/>
      <c r="DW171" s="214"/>
      <c r="DX171" s="214"/>
      <c r="DY171" s="214"/>
      <c r="DZ171" s="214"/>
      <c r="EA171" s="214"/>
      <c r="EB171" s="214"/>
      <c r="EC171" s="214"/>
      <c r="ED171" s="214"/>
      <c r="EE171" s="214"/>
      <c r="EF171" s="214"/>
      <c r="EG171" s="214"/>
      <c r="EH171" s="214"/>
      <c r="EI171" s="214"/>
      <c r="EJ171" s="214"/>
      <c r="EK171" s="214"/>
      <c r="EL171" s="214"/>
      <c r="EM171" s="214"/>
      <c r="EN171" s="214"/>
      <c r="EO171" s="214"/>
      <c r="EP171" s="214"/>
      <c r="EQ171" s="214"/>
      <c r="ER171" s="214"/>
      <c r="ES171" s="214"/>
      <c r="ET171" s="214"/>
      <c r="EU171" s="214"/>
      <c r="EV171" s="214"/>
      <c r="EW171" s="214"/>
      <c r="EX171" s="214"/>
      <c r="EY171" s="214"/>
      <c r="EZ171" s="214"/>
      <c r="FA171" s="214"/>
      <c r="FB171" s="214"/>
      <c r="FC171" s="214"/>
      <c r="FD171" s="214"/>
      <c r="FE171" s="214"/>
      <c r="FF171" s="214"/>
      <c r="FG171" s="214"/>
      <c r="FH171" s="214"/>
      <c r="FI171" s="214"/>
      <c r="FJ171" s="214"/>
      <c r="FK171" s="214"/>
      <c r="FL171" s="214"/>
      <c r="FM171" s="214"/>
      <c r="FN171" s="214"/>
      <c r="FO171" s="214"/>
      <c r="FP171" s="214"/>
      <c r="FQ171" s="214"/>
      <c r="FR171" s="214"/>
      <c r="FS171" s="214"/>
      <c r="FT171" s="214"/>
      <c r="FU171" s="214"/>
      <c r="FV171" s="214"/>
      <c r="FW171" s="214"/>
      <c r="FX171" s="214"/>
      <c r="FY171" s="214"/>
      <c r="FZ171" s="214"/>
      <c r="GA171" s="214"/>
      <c r="GB171" s="214"/>
      <c r="GC171" s="214"/>
      <c r="GD171" s="214"/>
      <c r="GE171" s="214"/>
      <c r="GF171" s="214"/>
      <c r="GG171" s="214"/>
      <c r="GH171" s="214"/>
      <c r="GI171" s="214"/>
      <c r="GJ171" s="214"/>
      <c r="GK171" s="214"/>
      <c r="GL171" s="214"/>
      <c r="GM171" s="214"/>
      <c r="GN171" s="214"/>
      <c r="GO171" s="214"/>
      <c r="GP171" s="214"/>
      <c r="GQ171" s="214"/>
      <c r="GR171" s="214"/>
      <c r="GS171" s="214"/>
      <c r="GT171" s="214"/>
      <c r="GU171" s="214"/>
      <c r="GV171" s="214"/>
      <c r="GW171" s="214"/>
      <c r="GX171" s="214"/>
      <c r="GY171" s="214"/>
      <c r="GZ171" s="214"/>
      <c r="HA171" s="214"/>
      <c r="HB171" s="214"/>
      <c r="HC171" s="214"/>
      <c r="HD171" s="214"/>
      <c r="HE171" s="214"/>
      <c r="HF171" s="214"/>
      <c r="HG171" s="214"/>
      <c r="HH171" s="214"/>
      <c r="HI171" s="214"/>
      <c r="HJ171" s="214"/>
      <c r="HK171" s="214"/>
      <c r="HL171" s="214"/>
      <c r="HM171" s="214"/>
      <c r="HN171" s="214"/>
      <c r="HO171" s="214"/>
      <c r="HP171" s="214"/>
      <c r="HQ171" s="214"/>
      <c r="HR171" s="214"/>
      <c r="HS171" s="214"/>
      <c r="HT171" s="214"/>
      <c r="HU171" s="214"/>
      <c r="HV171" s="214"/>
      <c r="HW171" s="214"/>
      <c r="HX171" s="214"/>
      <c r="HY171" s="214"/>
      <c r="HZ171" s="214"/>
      <c r="IA171" s="214"/>
      <c r="IB171" s="214"/>
      <c r="IC171" s="214"/>
      <c r="ID171" s="214"/>
      <c r="IE171" s="214"/>
      <c r="IF171" s="214"/>
      <c r="IG171" s="214"/>
      <c r="IH171" s="214"/>
      <c r="II171" s="214"/>
      <c r="IJ171" s="214"/>
      <c r="IK171" s="214"/>
      <c r="IL171" s="214"/>
      <c r="IM171" s="214"/>
      <c r="IN171" s="214"/>
      <c r="IO171" s="214"/>
      <c r="IP171" s="214"/>
      <c r="IQ171" s="214"/>
      <c r="IR171" s="214"/>
      <c r="IS171" s="214"/>
      <c r="IT171" s="214"/>
      <c r="IU171" s="214"/>
      <c r="IV171" s="214"/>
      <c r="IW171" s="214"/>
      <c r="IX171" s="214"/>
      <c r="IY171" s="214"/>
      <c r="IZ171" s="214"/>
      <c r="JA171" s="214"/>
      <c r="JB171" s="214"/>
      <c r="JC171" s="214"/>
      <c r="JD171" s="214"/>
      <c r="JE171" s="214"/>
      <c r="JF171" s="214"/>
      <c r="JG171" s="214"/>
      <c r="JH171" s="214"/>
      <c r="JI171" s="214"/>
    </row>
    <row r="172" spans="1:269">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c r="CG172" s="214"/>
      <c r="CH172" s="214"/>
      <c r="CI172" s="214"/>
      <c r="CJ172" s="214"/>
      <c r="CK172" s="214"/>
      <c r="CL172" s="214"/>
      <c r="CM172" s="214"/>
      <c r="CN172" s="214"/>
      <c r="CO172" s="214"/>
      <c r="CP172" s="214"/>
      <c r="CQ172" s="214"/>
      <c r="CR172" s="214"/>
      <c r="CS172" s="214"/>
      <c r="CT172" s="214"/>
      <c r="CU172" s="214"/>
      <c r="CV172" s="214"/>
      <c r="CW172" s="214"/>
      <c r="CX172" s="214"/>
      <c r="CY172" s="214"/>
      <c r="CZ172" s="214"/>
      <c r="DA172" s="214"/>
      <c r="DB172" s="214"/>
      <c r="DC172" s="214"/>
      <c r="DD172" s="214"/>
      <c r="DE172" s="214"/>
      <c r="DF172" s="214"/>
      <c r="DG172" s="214"/>
      <c r="DH172" s="214"/>
      <c r="DI172" s="214"/>
      <c r="DJ172" s="214"/>
      <c r="DK172" s="214"/>
      <c r="DL172" s="214"/>
      <c r="DM172" s="214"/>
      <c r="DN172" s="214"/>
      <c r="DO172" s="214"/>
      <c r="DP172" s="214"/>
      <c r="DQ172" s="214"/>
      <c r="DR172" s="214"/>
      <c r="DS172" s="214"/>
      <c r="DT172" s="214"/>
      <c r="DU172" s="214"/>
      <c r="DV172" s="214"/>
      <c r="DW172" s="214"/>
      <c r="DX172" s="214"/>
      <c r="DY172" s="214"/>
      <c r="DZ172" s="214"/>
      <c r="EA172" s="214"/>
      <c r="EB172" s="214"/>
      <c r="EC172" s="214"/>
      <c r="ED172" s="214"/>
      <c r="EE172" s="214"/>
      <c r="EF172" s="214"/>
      <c r="EG172" s="214"/>
      <c r="EH172" s="214"/>
      <c r="EI172" s="214"/>
      <c r="EJ172" s="214"/>
      <c r="EK172" s="214"/>
      <c r="EL172" s="214"/>
      <c r="EM172" s="214"/>
      <c r="EN172" s="214"/>
      <c r="EO172" s="214"/>
      <c r="EP172" s="214"/>
      <c r="EQ172" s="214"/>
      <c r="ER172" s="214"/>
      <c r="ES172" s="214"/>
      <c r="ET172" s="214"/>
      <c r="EU172" s="214"/>
      <c r="EV172" s="214"/>
      <c r="EW172" s="214"/>
      <c r="EX172" s="214"/>
      <c r="EY172" s="214"/>
      <c r="EZ172" s="214"/>
      <c r="FA172" s="214"/>
      <c r="FB172" s="214"/>
      <c r="FC172" s="214"/>
      <c r="FD172" s="214"/>
      <c r="FE172" s="214"/>
      <c r="FF172" s="214"/>
      <c r="FG172" s="214"/>
      <c r="FH172" s="214"/>
      <c r="FI172" s="214"/>
      <c r="FJ172" s="214"/>
      <c r="FK172" s="214"/>
      <c r="FL172" s="214"/>
      <c r="FM172" s="214"/>
      <c r="FN172" s="214"/>
      <c r="FO172" s="214"/>
      <c r="FP172" s="214"/>
      <c r="FQ172" s="214"/>
      <c r="FR172" s="214"/>
      <c r="FS172" s="214"/>
      <c r="FT172" s="214"/>
      <c r="FU172" s="214"/>
      <c r="FV172" s="214"/>
      <c r="FW172" s="214"/>
      <c r="FX172" s="214"/>
      <c r="FY172" s="214"/>
      <c r="FZ172" s="214"/>
      <c r="GA172" s="214"/>
      <c r="GB172" s="214"/>
      <c r="GC172" s="214"/>
      <c r="GD172" s="214"/>
      <c r="GE172" s="214"/>
      <c r="GF172" s="214"/>
      <c r="GG172" s="214"/>
      <c r="GH172" s="214"/>
      <c r="GI172" s="214"/>
      <c r="GJ172" s="214"/>
      <c r="GK172" s="214"/>
      <c r="GL172" s="214"/>
      <c r="GM172" s="214"/>
      <c r="GN172" s="214"/>
      <c r="GO172" s="214"/>
      <c r="GP172" s="214"/>
      <c r="GQ172" s="214"/>
      <c r="GR172" s="214"/>
      <c r="GS172" s="214"/>
      <c r="GT172" s="214"/>
      <c r="GU172" s="214"/>
      <c r="GV172" s="214"/>
      <c r="GW172" s="214"/>
      <c r="GX172" s="214"/>
      <c r="GY172" s="214"/>
      <c r="GZ172" s="214"/>
      <c r="HA172" s="214"/>
      <c r="HB172" s="214"/>
      <c r="HC172" s="214"/>
      <c r="HD172" s="214"/>
      <c r="HE172" s="214"/>
      <c r="HF172" s="214"/>
      <c r="HG172" s="214"/>
      <c r="HH172" s="214"/>
      <c r="HI172" s="214"/>
      <c r="HJ172" s="214"/>
      <c r="HK172" s="214"/>
      <c r="HL172" s="214"/>
      <c r="HM172" s="214"/>
      <c r="HN172" s="214"/>
      <c r="HO172" s="214"/>
      <c r="HP172" s="214"/>
      <c r="HQ172" s="214"/>
      <c r="HR172" s="214"/>
      <c r="HS172" s="214"/>
      <c r="HT172" s="214"/>
      <c r="HU172" s="214"/>
      <c r="HV172" s="214"/>
      <c r="HW172" s="214"/>
      <c r="HX172" s="214"/>
      <c r="HY172" s="214"/>
      <c r="HZ172" s="214"/>
      <c r="IA172" s="214"/>
      <c r="IB172" s="214"/>
      <c r="IC172" s="214"/>
      <c r="ID172" s="214"/>
      <c r="IE172" s="214"/>
      <c r="IF172" s="214"/>
      <c r="IG172" s="214"/>
      <c r="IH172" s="214"/>
      <c r="II172" s="214"/>
      <c r="IJ172" s="214"/>
      <c r="IK172" s="214"/>
      <c r="IL172" s="214"/>
      <c r="IM172" s="214"/>
      <c r="IN172" s="214"/>
      <c r="IO172" s="214"/>
      <c r="IP172" s="214"/>
      <c r="IQ172" s="214"/>
      <c r="IR172" s="214"/>
      <c r="IS172" s="214"/>
      <c r="IT172" s="214"/>
      <c r="IU172" s="214"/>
      <c r="IV172" s="214"/>
      <c r="IW172" s="214"/>
      <c r="IX172" s="214"/>
      <c r="IY172" s="214"/>
      <c r="IZ172" s="214"/>
      <c r="JA172" s="214"/>
      <c r="JB172" s="214"/>
      <c r="JC172" s="214"/>
      <c r="JD172" s="214"/>
      <c r="JE172" s="214"/>
      <c r="JF172" s="214"/>
      <c r="JG172" s="214"/>
      <c r="JH172" s="214"/>
      <c r="JI172" s="214"/>
    </row>
    <row r="173" spans="1:269">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c r="CG173" s="214"/>
      <c r="CH173" s="214"/>
      <c r="CI173" s="214"/>
      <c r="CJ173" s="214"/>
      <c r="CK173" s="214"/>
      <c r="CL173" s="214"/>
      <c r="CM173" s="214"/>
      <c r="CN173" s="214"/>
      <c r="CO173" s="214"/>
      <c r="CP173" s="214"/>
      <c r="CQ173" s="214"/>
      <c r="CR173" s="214"/>
      <c r="CS173" s="214"/>
      <c r="CT173" s="214"/>
      <c r="CU173" s="214"/>
      <c r="CV173" s="214"/>
      <c r="CW173" s="214"/>
      <c r="CX173" s="214"/>
      <c r="CY173" s="214"/>
      <c r="CZ173" s="214"/>
      <c r="DA173" s="214"/>
      <c r="DB173" s="214"/>
      <c r="DC173" s="214"/>
      <c r="DD173" s="214"/>
      <c r="DE173" s="214"/>
      <c r="DF173" s="214"/>
      <c r="DG173" s="214"/>
      <c r="DH173" s="214"/>
      <c r="DI173" s="214"/>
      <c r="DJ173" s="214"/>
      <c r="DK173" s="214"/>
      <c r="DL173" s="214"/>
      <c r="DM173" s="214"/>
      <c r="DN173" s="214"/>
      <c r="DO173" s="214"/>
      <c r="DP173" s="214"/>
      <c r="DQ173" s="214"/>
      <c r="DR173" s="214"/>
      <c r="DS173" s="214"/>
      <c r="DT173" s="214"/>
      <c r="DU173" s="214"/>
      <c r="DV173" s="214"/>
      <c r="DW173" s="214"/>
      <c r="DX173" s="214"/>
      <c r="DY173" s="214"/>
      <c r="DZ173" s="214"/>
      <c r="EA173" s="214"/>
      <c r="EB173" s="214"/>
      <c r="EC173" s="214"/>
      <c r="ED173" s="214"/>
      <c r="EE173" s="214"/>
      <c r="EF173" s="214"/>
      <c r="EG173" s="214"/>
      <c r="EH173" s="214"/>
      <c r="EI173" s="214"/>
      <c r="EJ173" s="214"/>
      <c r="EK173" s="214"/>
      <c r="EL173" s="214"/>
      <c r="EM173" s="214"/>
      <c r="EN173" s="214"/>
      <c r="EO173" s="214"/>
      <c r="EP173" s="214"/>
      <c r="EQ173" s="214"/>
      <c r="ER173" s="214"/>
      <c r="ES173" s="214"/>
      <c r="ET173" s="214"/>
      <c r="EU173" s="214"/>
      <c r="EV173" s="214"/>
      <c r="EW173" s="214"/>
      <c r="EX173" s="214"/>
      <c r="EY173" s="214"/>
      <c r="EZ173" s="214"/>
      <c r="FA173" s="214"/>
      <c r="FB173" s="214"/>
      <c r="FC173" s="214"/>
      <c r="FD173" s="214"/>
      <c r="FE173" s="214"/>
      <c r="FF173" s="214"/>
      <c r="FG173" s="214"/>
      <c r="FH173" s="214"/>
      <c r="FI173" s="214"/>
      <c r="FJ173" s="214"/>
      <c r="FK173" s="214"/>
      <c r="FL173" s="214"/>
      <c r="FM173" s="214"/>
      <c r="FN173" s="214"/>
      <c r="FO173" s="214"/>
      <c r="FP173" s="214"/>
      <c r="FQ173" s="214"/>
      <c r="FR173" s="214"/>
      <c r="FS173" s="214"/>
      <c r="FT173" s="214"/>
      <c r="FU173" s="214"/>
      <c r="FV173" s="214"/>
      <c r="FW173" s="214"/>
      <c r="FX173" s="214"/>
      <c r="FY173" s="214"/>
      <c r="FZ173" s="214"/>
      <c r="GA173" s="214"/>
      <c r="GB173" s="214"/>
      <c r="GC173" s="214"/>
      <c r="GD173" s="214"/>
      <c r="GE173" s="214"/>
      <c r="GF173" s="214"/>
      <c r="GG173" s="214"/>
      <c r="GH173" s="214"/>
      <c r="GI173" s="214"/>
      <c r="GJ173" s="214"/>
      <c r="GK173" s="214"/>
      <c r="GL173" s="214"/>
      <c r="GM173" s="214"/>
      <c r="GN173" s="214"/>
      <c r="GO173" s="214"/>
      <c r="GP173" s="214"/>
      <c r="GQ173" s="214"/>
      <c r="GR173" s="214"/>
      <c r="GS173" s="214"/>
      <c r="GT173" s="214"/>
      <c r="GU173" s="214"/>
      <c r="GV173" s="214"/>
      <c r="GW173" s="214"/>
      <c r="GX173" s="214"/>
      <c r="GY173" s="214"/>
      <c r="GZ173" s="214"/>
      <c r="HA173" s="214"/>
      <c r="HB173" s="214"/>
      <c r="HC173" s="214"/>
      <c r="HD173" s="214"/>
      <c r="HE173" s="214"/>
      <c r="HF173" s="214"/>
      <c r="HG173" s="214"/>
      <c r="HH173" s="214"/>
      <c r="HI173" s="214"/>
      <c r="HJ173" s="214"/>
      <c r="HK173" s="214"/>
      <c r="HL173" s="214"/>
      <c r="HM173" s="214"/>
      <c r="HN173" s="214"/>
      <c r="HO173" s="214"/>
      <c r="HP173" s="214"/>
      <c r="HQ173" s="214"/>
      <c r="HR173" s="214"/>
      <c r="HS173" s="214"/>
      <c r="HT173" s="214"/>
      <c r="HU173" s="214"/>
      <c r="HV173" s="214"/>
      <c r="HW173" s="214"/>
      <c r="HX173" s="214"/>
      <c r="HY173" s="214"/>
      <c r="HZ173" s="214"/>
      <c r="IA173" s="214"/>
      <c r="IB173" s="214"/>
      <c r="IC173" s="214"/>
      <c r="ID173" s="214"/>
      <c r="IE173" s="214"/>
      <c r="IF173" s="214"/>
      <c r="IG173" s="214"/>
      <c r="IH173" s="214"/>
      <c r="II173" s="214"/>
      <c r="IJ173" s="214"/>
      <c r="IK173" s="214"/>
      <c r="IL173" s="214"/>
      <c r="IM173" s="214"/>
      <c r="IN173" s="214"/>
      <c r="IO173" s="214"/>
      <c r="IP173" s="214"/>
      <c r="IQ173" s="214"/>
      <c r="IR173" s="214"/>
      <c r="IS173" s="214"/>
      <c r="IT173" s="214"/>
      <c r="IU173" s="214"/>
      <c r="IV173" s="214"/>
      <c r="IW173" s="214"/>
      <c r="IX173" s="214"/>
      <c r="IY173" s="214"/>
      <c r="IZ173" s="214"/>
      <c r="JA173" s="214"/>
      <c r="JB173" s="214"/>
      <c r="JC173" s="214"/>
      <c r="JD173" s="214"/>
      <c r="JE173" s="214"/>
      <c r="JF173" s="214"/>
      <c r="JG173" s="214"/>
      <c r="JH173" s="214"/>
      <c r="JI173" s="214"/>
    </row>
    <row r="174" spans="1:269">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c r="CG174" s="214"/>
      <c r="CH174" s="214"/>
      <c r="CI174" s="214"/>
      <c r="CJ174" s="214"/>
      <c r="CK174" s="214"/>
      <c r="CL174" s="214"/>
      <c r="CM174" s="214"/>
      <c r="CN174" s="214"/>
      <c r="CO174" s="214"/>
      <c r="CP174" s="214"/>
      <c r="CQ174" s="214"/>
      <c r="CR174" s="214"/>
      <c r="CS174" s="214"/>
      <c r="CT174" s="214"/>
      <c r="CU174" s="214"/>
      <c r="CV174" s="214"/>
      <c r="CW174" s="214"/>
      <c r="CX174" s="214"/>
      <c r="CY174" s="214"/>
      <c r="CZ174" s="214"/>
      <c r="DA174" s="214"/>
      <c r="DB174" s="214"/>
      <c r="DC174" s="214"/>
      <c r="DD174" s="214"/>
      <c r="DE174" s="214"/>
      <c r="DF174" s="214"/>
      <c r="DG174" s="214"/>
      <c r="DH174" s="214"/>
      <c r="DI174" s="214"/>
      <c r="DJ174" s="214"/>
      <c r="DK174" s="214"/>
      <c r="DL174" s="214"/>
      <c r="DM174" s="214"/>
      <c r="DN174" s="214"/>
      <c r="DO174" s="214"/>
      <c r="DP174" s="214"/>
      <c r="DQ174" s="214"/>
      <c r="DR174" s="214"/>
      <c r="DS174" s="214"/>
      <c r="DT174" s="214"/>
      <c r="DU174" s="214"/>
      <c r="DV174" s="214"/>
      <c r="DW174" s="214"/>
      <c r="DX174" s="214"/>
      <c r="DY174" s="214"/>
      <c r="DZ174" s="214"/>
      <c r="EA174" s="214"/>
      <c r="EB174" s="214"/>
      <c r="EC174" s="214"/>
      <c r="ED174" s="214"/>
      <c r="EE174" s="214"/>
      <c r="EF174" s="214"/>
      <c r="EG174" s="214"/>
      <c r="EH174" s="214"/>
      <c r="EI174" s="214"/>
      <c r="EJ174" s="214"/>
      <c r="EK174" s="214"/>
      <c r="EL174" s="214"/>
      <c r="EM174" s="214"/>
      <c r="EN174" s="214"/>
      <c r="EO174" s="214"/>
      <c r="EP174" s="214"/>
      <c r="EQ174" s="214"/>
      <c r="ER174" s="214"/>
      <c r="ES174" s="214"/>
      <c r="ET174" s="214"/>
      <c r="EU174" s="214"/>
      <c r="EV174" s="214"/>
      <c r="EW174" s="214"/>
      <c r="EX174" s="214"/>
      <c r="EY174" s="214"/>
      <c r="EZ174" s="214"/>
      <c r="FA174" s="214"/>
      <c r="FB174" s="214"/>
      <c r="FC174" s="214"/>
      <c r="FD174" s="214"/>
      <c r="FE174" s="214"/>
      <c r="FF174" s="214"/>
      <c r="FG174" s="214"/>
      <c r="FH174" s="214"/>
      <c r="FI174" s="214"/>
      <c r="FJ174" s="214"/>
      <c r="FK174" s="214"/>
      <c r="FL174" s="214"/>
      <c r="FM174" s="214"/>
      <c r="FN174" s="214"/>
      <c r="FO174" s="214"/>
      <c r="FP174" s="214"/>
      <c r="FQ174" s="214"/>
      <c r="FR174" s="214"/>
      <c r="FS174" s="214"/>
      <c r="FT174" s="214"/>
      <c r="FU174" s="214"/>
      <c r="FV174" s="214"/>
      <c r="FW174" s="214"/>
      <c r="FX174" s="214"/>
      <c r="FY174" s="214"/>
      <c r="FZ174" s="214"/>
      <c r="GA174" s="214"/>
      <c r="GB174" s="214"/>
      <c r="GC174" s="214"/>
      <c r="GD174" s="214"/>
      <c r="GE174" s="214"/>
      <c r="GF174" s="214"/>
      <c r="GG174" s="214"/>
      <c r="GH174" s="214"/>
      <c r="GI174" s="214"/>
      <c r="GJ174" s="214"/>
      <c r="GK174" s="214"/>
      <c r="GL174" s="214"/>
      <c r="GM174" s="214"/>
      <c r="GN174" s="214"/>
      <c r="GO174" s="214"/>
      <c r="GP174" s="214"/>
      <c r="GQ174" s="214"/>
      <c r="GR174" s="214"/>
      <c r="GS174" s="214"/>
      <c r="GT174" s="214"/>
      <c r="GU174" s="214"/>
      <c r="GV174" s="214"/>
      <c r="GW174" s="214"/>
      <c r="GX174" s="214"/>
      <c r="GY174" s="214"/>
      <c r="GZ174" s="214"/>
      <c r="HA174" s="214"/>
      <c r="HB174" s="214"/>
      <c r="HC174" s="214"/>
      <c r="HD174" s="214"/>
      <c r="HE174" s="214"/>
      <c r="HF174" s="214"/>
      <c r="HG174" s="214"/>
      <c r="HH174" s="214"/>
      <c r="HI174" s="214"/>
      <c r="HJ174" s="214"/>
      <c r="HK174" s="214"/>
      <c r="HL174" s="214"/>
      <c r="HM174" s="214"/>
      <c r="HN174" s="214"/>
      <c r="HO174" s="214"/>
      <c r="HP174" s="214"/>
      <c r="HQ174" s="214"/>
      <c r="HR174" s="214"/>
      <c r="HS174" s="214"/>
      <c r="HT174" s="214"/>
      <c r="HU174" s="214"/>
      <c r="HV174" s="214"/>
      <c r="HW174" s="214"/>
      <c r="HX174" s="214"/>
      <c r="HY174" s="214"/>
      <c r="HZ174" s="214"/>
      <c r="IA174" s="214"/>
      <c r="IB174" s="214"/>
      <c r="IC174" s="214"/>
      <c r="ID174" s="214"/>
      <c r="IE174" s="214"/>
      <c r="IF174" s="214"/>
      <c r="IG174" s="214"/>
      <c r="IH174" s="214"/>
      <c r="II174" s="214"/>
      <c r="IJ174" s="214"/>
      <c r="IK174" s="214"/>
      <c r="IL174" s="214"/>
      <c r="IM174" s="214"/>
      <c r="IN174" s="214"/>
      <c r="IO174" s="214"/>
      <c r="IP174" s="214"/>
      <c r="IQ174" s="214"/>
      <c r="IR174" s="214"/>
      <c r="IS174" s="214"/>
      <c r="IT174" s="214"/>
      <c r="IU174" s="214"/>
      <c r="IV174" s="214"/>
      <c r="IW174" s="214"/>
      <c r="IX174" s="214"/>
      <c r="IY174" s="214"/>
      <c r="IZ174" s="214"/>
      <c r="JA174" s="214"/>
      <c r="JB174" s="214"/>
      <c r="JC174" s="214"/>
      <c r="JD174" s="214"/>
      <c r="JE174" s="214"/>
      <c r="JF174" s="214"/>
      <c r="JG174" s="214"/>
      <c r="JH174" s="214"/>
      <c r="JI174" s="214"/>
    </row>
    <row r="175" spans="1:269">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c r="CG175" s="214"/>
      <c r="CH175" s="214"/>
      <c r="CI175" s="214"/>
      <c r="CJ175" s="214"/>
      <c r="CK175" s="214"/>
      <c r="CL175" s="214"/>
      <c r="CM175" s="214"/>
      <c r="CN175" s="214"/>
      <c r="CO175" s="214"/>
      <c r="CP175" s="214"/>
      <c r="CQ175" s="214"/>
      <c r="CR175" s="214"/>
      <c r="CS175" s="214"/>
      <c r="CT175" s="214"/>
      <c r="CU175" s="214"/>
      <c r="CV175" s="214"/>
      <c r="CW175" s="214"/>
      <c r="CX175" s="214"/>
      <c r="CY175" s="214"/>
      <c r="CZ175" s="214"/>
      <c r="DA175" s="214"/>
      <c r="DB175" s="214"/>
      <c r="DC175" s="214"/>
      <c r="DD175" s="214"/>
      <c r="DE175" s="214"/>
      <c r="DF175" s="214"/>
      <c r="DG175" s="214"/>
      <c r="DH175" s="214"/>
      <c r="DI175" s="214"/>
      <c r="DJ175" s="214"/>
      <c r="DK175" s="214"/>
      <c r="DL175" s="214"/>
      <c r="DM175" s="214"/>
      <c r="DN175" s="214"/>
      <c r="DO175" s="214"/>
      <c r="DP175" s="214"/>
      <c r="DQ175" s="214"/>
      <c r="DR175" s="214"/>
      <c r="DS175" s="214"/>
      <c r="DT175" s="214"/>
      <c r="DU175" s="214"/>
      <c r="DV175" s="214"/>
      <c r="DW175" s="214"/>
      <c r="DX175" s="214"/>
      <c r="DY175" s="214"/>
      <c r="DZ175" s="214"/>
      <c r="EA175" s="214"/>
      <c r="EB175" s="214"/>
      <c r="EC175" s="214"/>
      <c r="ED175" s="214"/>
      <c r="EE175" s="214"/>
      <c r="EF175" s="214"/>
      <c r="EG175" s="214"/>
      <c r="EH175" s="214"/>
      <c r="EI175" s="214"/>
      <c r="EJ175" s="214"/>
      <c r="EK175" s="214"/>
      <c r="EL175" s="214"/>
      <c r="EM175" s="214"/>
      <c r="EN175" s="214"/>
      <c r="EO175" s="214"/>
      <c r="EP175" s="214"/>
      <c r="EQ175" s="214"/>
      <c r="ER175" s="214"/>
      <c r="ES175" s="214"/>
      <c r="ET175" s="214"/>
      <c r="EU175" s="214"/>
      <c r="EV175" s="214"/>
      <c r="EW175" s="214"/>
      <c r="EX175" s="214"/>
      <c r="EY175" s="214"/>
      <c r="EZ175" s="214"/>
      <c r="FA175" s="214"/>
      <c r="FB175" s="214"/>
      <c r="FC175" s="214"/>
      <c r="FD175" s="214"/>
      <c r="FE175" s="214"/>
      <c r="FF175" s="214"/>
      <c r="FG175" s="214"/>
      <c r="FH175" s="214"/>
      <c r="FI175" s="214"/>
      <c r="FJ175" s="214"/>
      <c r="FK175" s="214"/>
      <c r="FL175" s="214"/>
      <c r="FM175" s="214"/>
      <c r="FN175" s="214"/>
      <c r="FO175" s="214"/>
      <c r="FP175" s="214"/>
      <c r="FQ175" s="214"/>
      <c r="FR175" s="214"/>
      <c r="FS175" s="214"/>
      <c r="FT175" s="214"/>
      <c r="FU175" s="214"/>
      <c r="FV175" s="214"/>
      <c r="FW175" s="214"/>
      <c r="FX175" s="214"/>
      <c r="FY175" s="214"/>
      <c r="FZ175" s="214"/>
      <c r="GA175" s="214"/>
      <c r="GB175" s="214"/>
      <c r="GC175" s="214"/>
      <c r="GD175" s="214"/>
      <c r="GE175" s="214"/>
      <c r="GF175" s="214"/>
      <c r="GG175" s="214"/>
      <c r="GH175" s="214"/>
      <c r="GI175" s="214"/>
      <c r="GJ175" s="214"/>
      <c r="GK175" s="214"/>
      <c r="GL175" s="214"/>
      <c r="GM175" s="214"/>
      <c r="GN175" s="214"/>
      <c r="GO175" s="214"/>
      <c r="GP175" s="214"/>
      <c r="GQ175" s="214"/>
      <c r="GR175" s="214"/>
      <c r="GS175" s="214"/>
      <c r="GT175" s="214"/>
      <c r="GU175" s="214"/>
      <c r="GV175" s="214"/>
      <c r="GW175" s="214"/>
      <c r="GX175" s="214"/>
      <c r="GY175" s="214"/>
      <c r="GZ175" s="214"/>
      <c r="HA175" s="214"/>
      <c r="HB175" s="214"/>
      <c r="HC175" s="214"/>
      <c r="HD175" s="214"/>
      <c r="HE175" s="214"/>
      <c r="HF175" s="214"/>
      <c r="HG175" s="214"/>
      <c r="HH175" s="214"/>
      <c r="HI175" s="214"/>
      <c r="HJ175" s="214"/>
      <c r="HK175" s="214"/>
      <c r="HL175" s="214"/>
      <c r="HM175" s="214"/>
      <c r="HN175" s="214"/>
      <c r="HO175" s="214"/>
      <c r="HP175" s="214"/>
      <c r="HQ175" s="214"/>
      <c r="HR175" s="214"/>
      <c r="HS175" s="214"/>
      <c r="HT175" s="214"/>
      <c r="HU175" s="214"/>
      <c r="HV175" s="214"/>
      <c r="HW175" s="214"/>
      <c r="HX175" s="214"/>
      <c r="HY175" s="214"/>
      <c r="HZ175" s="214"/>
      <c r="IA175" s="214"/>
      <c r="IB175" s="214"/>
      <c r="IC175" s="214"/>
      <c r="ID175" s="214"/>
      <c r="IE175" s="214"/>
      <c r="IF175" s="214"/>
      <c r="IG175" s="214"/>
      <c r="IH175" s="214"/>
      <c r="II175" s="214"/>
      <c r="IJ175" s="214"/>
      <c r="IK175" s="214"/>
      <c r="IL175" s="214"/>
      <c r="IM175" s="214"/>
      <c r="IN175" s="214"/>
      <c r="IO175" s="214"/>
      <c r="IP175" s="214"/>
      <c r="IQ175" s="214"/>
      <c r="IR175" s="214"/>
      <c r="IS175" s="214"/>
      <c r="IT175" s="214"/>
      <c r="IU175" s="214"/>
      <c r="IV175" s="214"/>
      <c r="IW175" s="214"/>
      <c r="IX175" s="214"/>
      <c r="IY175" s="214"/>
      <c r="IZ175" s="214"/>
      <c r="JA175" s="214"/>
      <c r="JB175" s="214"/>
      <c r="JC175" s="214"/>
      <c r="JD175" s="214"/>
      <c r="JE175" s="214"/>
      <c r="JF175" s="214"/>
      <c r="JG175" s="214"/>
      <c r="JH175" s="214"/>
      <c r="JI175" s="214"/>
    </row>
    <row r="176" spans="1:269">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c r="CG176" s="214"/>
      <c r="CH176" s="214"/>
      <c r="CI176" s="214"/>
      <c r="CJ176" s="214"/>
      <c r="CK176" s="214"/>
      <c r="CL176" s="214"/>
      <c r="CM176" s="214"/>
      <c r="CN176" s="214"/>
      <c r="CO176" s="214"/>
      <c r="CP176" s="214"/>
      <c r="CQ176" s="214"/>
      <c r="CR176" s="214"/>
      <c r="CS176" s="214"/>
      <c r="CT176" s="214"/>
      <c r="CU176" s="214"/>
      <c r="CV176" s="214"/>
      <c r="CW176" s="214"/>
      <c r="CX176" s="214"/>
      <c r="CY176" s="214"/>
      <c r="CZ176" s="214"/>
      <c r="DA176" s="214"/>
      <c r="DB176" s="214"/>
      <c r="DC176" s="214"/>
      <c r="DD176" s="214"/>
      <c r="DE176" s="214"/>
      <c r="DF176" s="214"/>
      <c r="DG176" s="214"/>
      <c r="DH176" s="214"/>
      <c r="DI176" s="214"/>
      <c r="DJ176" s="214"/>
      <c r="DK176" s="214"/>
      <c r="DL176" s="214"/>
      <c r="DM176" s="214"/>
      <c r="DN176" s="214"/>
      <c r="DO176" s="214"/>
      <c r="DP176" s="214"/>
      <c r="DQ176" s="214"/>
      <c r="DR176" s="214"/>
      <c r="DS176" s="214"/>
      <c r="DT176" s="214"/>
      <c r="DU176" s="214"/>
      <c r="DV176" s="214"/>
      <c r="DW176" s="214"/>
      <c r="DX176" s="214"/>
      <c r="DY176" s="214"/>
      <c r="DZ176" s="214"/>
      <c r="EA176" s="214"/>
      <c r="EB176" s="214"/>
      <c r="EC176" s="214"/>
      <c r="ED176" s="214"/>
      <c r="EE176" s="214"/>
      <c r="EF176" s="214"/>
      <c r="EG176" s="214"/>
      <c r="EH176" s="214"/>
      <c r="EI176" s="214"/>
      <c r="EJ176" s="214"/>
      <c r="EK176" s="214"/>
      <c r="EL176" s="214"/>
      <c r="EM176" s="214"/>
      <c r="EN176" s="214"/>
      <c r="EO176" s="214"/>
      <c r="EP176" s="214"/>
      <c r="EQ176" s="214"/>
      <c r="ER176" s="214"/>
      <c r="ES176" s="214"/>
      <c r="ET176" s="214"/>
      <c r="EU176" s="214"/>
      <c r="EV176" s="214"/>
      <c r="EW176" s="214"/>
      <c r="EX176" s="214"/>
      <c r="EY176" s="214"/>
      <c r="EZ176" s="214"/>
      <c r="FA176" s="214"/>
      <c r="FB176" s="214"/>
      <c r="FC176" s="214"/>
      <c r="FD176" s="214"/>
      <c r="FE176" s="214"/>
      <c r="FF176" s="214"/>
      <c r="FG176" s="214"/>
      <c r="FH176" s="214"/>
      <c r="FI176" s="214"/>
      <c r="FJ176" s="214"/>
      <c r="FK176" s="214"/>
      <c r="FL176" s="214"/>
      <c r="FM176" s="214"/>
      <c r="FN176" s="214"/>
      <c r="FO176" s="214"/>
      <c r="FP176" s="214"/>
      <c r="FQ176" s="214"/>
      <c r="FR176" s="214"/>
      <c r="FS176" s="214"/>
      <c r="FT176" s="214"/>
      <c r="FU176" s="214"/>
      <c r="FV176" s="214"/>
      <c r="FW176" s="214"/>
      <c r="FX176" s="214"/>
      <c r="FY176" s="214"/>
      <c r="FZ176" s="214"/>
      <c r="GA176" s="214"/>
      <c r="GB176" s="214"/>
      <c r="GC176" s="214"/>
      <c r="GD176" s="214"/>
      <c r="GE176" s="214"/>
      <c r="GF176" s="214"/>
      <c r="GG176" s="214"/>
      <c r="GH176" s="214"/>
      <c r="GI176" s="214"/>
      <c r="GJ176" s="214"/>
      <c r="GK176" s="214"/>
      <c r="GL176" s="214"/>
      <c r="GM176" s="214"/>
      <c r="GN176" s="214"/>
      <c r="GO176" s="214"/>
      <c r="GP176" s="214"/>
      <c r="GQ176" s="214"/>
      <c r="GR176" s="214"/>
      <c r="GS176" s="214"/>
      <c r="GT176" s="214"/>
      <c r="GU176" s="214"/>
      <c r="GV176" s="214"/>
      <c r="GW176" s="214"/>
      <c r="GX176" s="214"/>
      <c r="GY176" s="214"/>
      <c r="GZ176" s="214"/>
      <c r="HA176" s="214"/>
      <c r="HB176" s="214"/>
      <c r="HC176" s="214"/>
      <c r="HD176" s="214"/>
      <c r="HE176" s="214"/>
      <c r="HF176" s="214"/>
      <c r="HG176" s="214"/>
      <c r="HH176" s="214"/>
      <c r="HI176" s="214"/>
      <c r="HJ176" s="214"/>
      <c r="HK176" s="214"/>
      <c r="HL176" s="214"/>
      <c r="HM176" s="214"/>
      <c r="HN176" s="214"/>
      <c r="HO176" s="214"/>
      <c r="HP176" s="214"/>
      <c r="HQ176" s="214"/>
      <c r="HR176" s="214"/>
      <c r="HS176" s="214"/>
      <c r="HT176" s="214"/>
      <c r="HU176" s="214"/>
      <c r="HV176" s="214"/>
      <c r="HW176" s="214"/>
      <c r="HX176" s="214"/>
      <c r="HY176" s="214"/>
      <c r="HZ176" s="214"/>
      <c r="IA176" s="214"/>
      <c r="IB176" s="214"/>
      <c r="IC176" s="214"/>
      <c r="ID176" s="214"/>
      <c r="IE176" s="214"/>
      <c r="IF176" s="214"/>
      <c r="IG176" s="214"/>
      <c r="IH176" s="214"/>
      <c r="II176" s="214"/>
      <c r="IJ176" s="214"/>
      <c r="IK176" s="214"/>
      <c r="IL176" s="214"/>
      <c r="IM176" s="214"/>
      <c r="IN176" s="214"/>
      <c r="IO176" s="214"/>
      <c r="IP176" s="214"/>
      <c r="IQ176" s="214"/>
      <c r="IR176" s="214"/>
      <c r="IS176" s="214"/>
      <c r="IT176" s="214"/>
      <c r="IU176" s="214"/>
      <c r="IV176" s="214"/>
      <c r="IW176" s="214"/>
      <c r="IX176" s="214"/>
      <c r="IY176" s="214"/>
      <c r="IZ176" s="214"/>
      <c r="JA176" s="214"/>
      <c r="JB176" s="214"/>
      <c r="JC176" s="214"/>
      <c r="JD176" s="214"/>
      <c r="JE176" s="214"/>
      <c r="JF176" s="214"/>
      <c r="JG176" s="214"/>
      <c r="JH176" s="214"/>
      <c r="JI176" s="214"/>
    </row>
    <row r="177" spans="1:269">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c r="CG177" s="214"/>
      <c r="CH177" s="214"/>
      <c r="CI177" s="214"/>
      <c r="CJ177" s="214"/>
      <c r="CK177" s="214"/>
      <c r="CL177" s="214"/>
      <c r="CM177" s="214"/>
      <c r="CN177" s="214"/>
      <c r="CO177" s="214"/>
      <c r="CP177" s="214"/>
      <c r="CQ177" s="214"/>
      <c r="CR177" s="214"/>
      <c r="CS177" s="214"/>
      <c r="CT177" s="214"/>
      <c r="CU177" s="214"/>
      <c r="CV177" s="214"/>
      <c r="CW177" s="214"/>
      <c r="CX177" s="214"/>
      <c r="CY177" s="214"/>
      <c r="CZ177" s="214"/>
      <c r="DA177" s="214"/>
      <c r="DB177" s="214"/>
      <c r="DC177" s="214"/>
      <c r="DD177" s="214"/>
      <c r="DE177" s="214"/>
      <c r="DF177" s="214"/>
      <c r="DG177" s="214"/>
      <c r="DH177" s="214"/>
      <c r="DI177" s="214"/>
      <c r="DJ177" s="214"/>
      <c r="DK177" s="214"/>
      <c r="DL177" s="214"/>
      <c r="DM177" s="214"/>
      <c r="DN177" s="214"/>
      <c r="DO177" s="214"/>
      <c r="DP177" s="214"/>
      <c r="DQ177" s="214"/>
      <c r="DR177" s="214"/>
      <c r="DS177" s="214"/>
      <c r="DT177" s="214"/>
      <c r="DU177" s="214"/>
      <c r="DV177" s="214"/>
      <c r="DW177" s="214"/>
      <c r="DX177" s="214"/>
      <c r="DY177" s="214"/>
      <c r="DZ177" s="214"/>
      <c r="EA177" s="214"/>
      <c r="EB177" s="214"/>
      <c r="EC177" s="214"/>
      <c r="ED177" s="214"/>
      <c r="EE177" s="214"/>
      <c r="EF177" s="214"/>
      <c r="EG177" s="214"/>
      <c r="EH177" s="214"/>
      <c r="EI177" s="214"/>
      <c r="EJ177" s="214"/>
      <c r="EK177" s="214"/>
      <c r="EL177" s="214"/>
      <c r="EM177" s="214"/>
      <c r="EN177" s="214"/>
      <c r="EO177" s="214"/>
      <c r="EP177" s="214"/>
      <c r="EQ177" s="214"/>
      <c r="ER177" s="214"/>
      <c r="ES177" s="214"/>
      <c r="ET177" s="214"/>
      <c r="EU177" s="214"/>
      <c r="EV177" s="214"/>
      <c r="EW177" s="214"/>
      <c r="EX177" s="214"/>
      <c r="EY177" s="214"/>
      <c r="EZ177" s="214"/>
      <c r="FA177" s="214"/>
      <c r="FB177" s="214"/>
      <c r="FC177" s="214"/>
      <c r="FD177" s="214"/>
      <c r="FE177" s="214"/>
      <c r="FF177" s="214"/>
      <c r="FG177" s="214"/>
      <c r="FH177" s="214"/>
      <c r="FI177" s="214"/>
      <c r="FJ177" s="214"/>
      <c r="FK177" s="214"/>
      <c r="FL177" s="214"/>
      <c r="FM177" s="214"/>
      <c r="FN177" s="214"/>
      <c r="FO177" s="214"/>
      <c r="FP177" s="214"/>
      <c r="FQ177" s="214"/>
      <c r="FR177" s="214"/>
      <c r="FS177" s="214"/>
      <c r="FT177" s="214"/>
      <c r="FU177" s="214"/>
      <c r="FV177" s="214"/>
      <c r="FW177" s="214"/>
      <c r="FX177" s="214"/>
      <c r="FY177" s="214"/>
      <c r="FZ177" s="214"/>
      <c r="GA177" s="214"/>
      <c r="GB177" s="214"/>
      <c r="GC177" s="214"/>
      <c r="GD177" s="214"/>
      <c r="GE177" s="214"/>
      <c r="GF177" s="214"/>
      <c r="GG177" s="214"/>
      <c r="GH177" s="214"/>
      <c r="GI177" s="214"/>
      <c r="GJ177" s="214"/>
      <c r="GK177" s="214"/>
      <c r="GL177" s="214"/>
      <c r="GM177" s="214"/>
      <c r="GN177" s="214"/>
      <c r="GO177" s="214"/>
      <c r="GP177" s="214"/>
      <c r="GQ177" s="214"/>
      <c r="GR177" s="214"/>
      <c r="GS177" s="214"/>
      <c r="GT177" s="214"/>
      <c r="GU177" s="214"/>
      <c r="GV177" s="214"/>
      <c r="GW177" s="214"/>
      <c r="GX177" s="214"/>
      <c r="GY177" s="214"/>
      <c r="GZ177" s="214"/>
      <c r="HA177" s="214"/>
      <c r="HB177" s="214"/>
      <c r="HC177" s="214"/>
      <c r="HD177" s="214"/>
      <c r="HE177" s="214"/>
      <c r="HF177" s="214"/>
      <c r="HG177" s="214"/>
      <c r="HH177" s="214"/>
      <c r="HI177" s="214"/>
      <c r="HJ177" s="214"/>
      <c r="HK177" s="214"/>
      <c r="HL177" s="214"/>
      <c r="HM177" s="214"/>
      <c r="HN177" s="214"/>
      <c r="HO177" s="214"/>
      <c r="HP177" s="214"/>
      <c r="HQ177" s="214"/>
      <c r="HR177" s="214"/>
      <c r="HS177" s="214"/>
      <c r="HT177" s="214"/>
      <c r="HU177" s="214"/>
      <c r="HV177" s="214"/>
      <c r="HW177" s="214"/>
      <c r="HX177" s="214"/>
      <c r="HY177" s="214"/>
      <c r="HZ177" s="214"/>
      <c r="IA177" s="214"/>
      <c r="IB177" s="214"/>
      <c r="IC177" s="214"/>
      <c r="ID177" s="214"/>
      <c r="IE177" s="214"/>
      <c r="IF177" s="214"/>
      <c r="IG177" s="214"/>
      <c r="IH177" s="214"/>
      <c r="II177" s="214"/>
      <c r="IJ177" s="214"/>
      <c r="IK177" s="214"/>
      <c r="IL177" s="214"/>
      <c r="IM177" s="214"/>
      <c r="IN177" s="214"/>
      <c r="IO177" s="214"/>
      <c r="IP177" s="214"/>
      <c r="IQ177" s="214"/>
      <c r="IR177" s="214"/>
      <c r="IS177" s="214"/>
      <c r="IT177" s="214"/>
      <c r="IU177" s="214"/>
      <c r="IV177" s="214"/>
      <c r="IW177" s="214"/>
      <c r="IX177" s="214"/>
      <c r="IY177" s="214"/>
      <c r="IZ177" s="214"/>
      <c r="JA177" s="214"/>
      <c r="JB177" s="214"/>
      <c r="JC177" s="214"/>
      <c r="JD177" s="214"/>
      <c r="JE177" s="214"/>
      <c r="JF177" s="214"/>
      <c r="JG177" s="214"/>
      <c r="JH177" s="214"/>
      <c r="JI177" s="214"/>
    </row>
    <row r="178" spans="1:269">
      <c r="A178" s="214"/>
      <c r="B178" s="214"/>
      <c r="C178" s="214"/>
      <c r="D178" s="214"/>
      <c r="E178" s="214"/>
      <c r="F178" s="214"/>
      <c r="G178" s="214"/>
      <c r="H178" s="214"/>
      <c r="I178" s="214"/>
      <c r="J178" s="214"/>
      <c r="K178" s="214"/>
      <c r="L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c r="CG178" s="214"/>
      <c r="CH178" s="214"/>
      <c r="CI178" s="214"/>
      <c r="CJ178" s="214"/>
      <c r="CK178" s="214"/>
      <c r="CL178" s="214"/>
      <c r="CM178" s="214"/>
      <c r="CN178" s="214"/>
      <c r="CO178" s="214"/>
      <c r="CP178" s="214"/>
      <c r="CQ178" s="214"/>
      <c r="CR178" s="214"/>
      <c r="CS178" s="214"/>
      <c r="CT178" s="214"/>
      <c r="CU178" s="214"/>
      <c r="CV178" s="214"/>
      <c r="CW178" s="214"/>
      <c r="CX178" s="214"/>
      <c r="CY178" s="214"/>
      <c r="CZ178" s="214"/>
      <c r="DA178" s="214"/>
      <c r="DB178" s="214"/>
      <c r="DC178" s="214"/>
      <c r="DD178" s="214"/>
      <c r="DE178" s="214"/>
      <c r="DF178" s="214"/>
      <c r="DG178" s="214"/>
      <c r="DH178" s="214"/>
      <c r="DI178" s="214"/>
      <c r="DJ178" s="214"/>
      <c r="DK178" s="214"/>
      <c r="DL178" s="214"/>
      <c r="DM178" s="214"/>
      <c r="DN178" s="214"/>
      <c r="DO178" s="214"/>
      <c r="DP178" s="214"/>
      <c r="DQ178" s="214"/>
      <c r="DR178" s="214"/>
      <c r="DS178" s="214"/>
      <c r="DT178" s="214"/>
      <c r="DU178" s="214"/>
      <c r="DV178" s="214"/>
      <c r="DW178" s="214"/>
      <c r="DX178" s="214"/>
      <c r="DY178" s="214"/>
      <c r="DZ178" s="214"/>
      <c r="EA178" s="214"/>
      <c r="EB178" s="214"/>
      <c r="EC178" s="214"/>
      <c r="ED178" s="214"/>
      <c r="EE178" s="214"/>
      <c r="EF178" s="214"/>
      <c r="EG178" s="214"/>
      <c r="EH178" s="214"/>
      <c r="EI178" s="214"/>
      <c r="EJ178" s="214"/>
      <c r="EK178" s="214"/>
      <c r="EL178" s="214"/>
      <c r="EM178" s="214"/>
      <c r="EN178" s="214"/>
      <c r="EO178" s="214"/>
      <c r="EP178" s="214"/>
      <c r="EQ178" s="214"/>
      <c r="ER178" s="214"/>
      <c r="ES178" s="214"/>
      <c r="ET178" s="214"/>
      <c r="EU178" s="214"/>
      <c r="EV178" s="214"/>
      <c r="EW178" s="214"/>
      <c r="EX178" s="214"/>
      <c r="EY178" s="214"/>
      <c r="EZ178" s="214"/>
      <c r="FA178" s="214"/>
      <c r="FB178" s="214"/>
      <c r="FC178" s="214"/>
      <c r="FD178" s="214"/>
      <c r="FE178" s="214"/>
      <c r="FF178" s="214"/>
      <c r="FG178" s="214"/>
      <c r="FH178" s="214"/>
      <c r="FI178" s="214"/>
      <c r="FJ178" s="214"/>
      <c r="FK178" s="214"/>
      <c r="FL178" s="214"/>
      <c r="FM178" s="214"/>
      <c r="FN178" s="214"/>
      <c r="FO178" s="214"/>
      <c r="FP178" s="214"/>
      <c r="FQ178" s="214"/>
      <c r="FR178" s="214"/>
      <c r="FS178" s="214"/>
      <c r="FT178" s="214"/>
      <c r="FU178" s="214"/>
      <c r="FV178" s="214"/>
      <c r="FW178" s="214"/>
      <c r="FX178" s="214"/>
      <c r="FY178" s="214"/>
      <c r="FZ178" s="214"/>
      <c r="GA178" s="214"/>
      <c r="GB178" s="214"/>
      <c r="GC178" s="214"/>
      <c r="GD178" s="214"/>
      <c r="GE178" s="214"/>
      <c r="GF178" s="214"/>
      <c r="GG178" s="214"/>
      <c r="GH178" s="214"/>
      <c r="GI178" s="214"/>
      <c r="GJ178" s="214"/>
      <c r="GK178" s="214"/>
      <c r="GL178" s="214"/>
      <c r="GM178" s="214"/>
      <c r="GN178" s="214"/>
      <c r="GO178" s="214"/>
      <c r="GP178" s="214"/>
      <c r="GQ178" s="214"/>
      <c r="GR178" s="214"/>
      <c r="GS178" s="214"/>
      <c r="GT178" s="214"/>
      <c r="GU178" s="214"/>
      <c r="GV178" s="214"/>
      <c r="GW178" s="214"/>
      <c r="GX178" s="214"/>
      <c r="GY178" s="214"/>
      <c r="GZ178" s="214"/>
      <c r="HA178" s="214"/>
      <c r="HB178" s="214"/>
      <c r="HC178" s="214"/>
      <c r="HD178" s="214"/>
      <c r="HE178" s="214"/>
      <c r="HF178" s="214"/>
      <c r="HG178" s="214"/>
      <c r="HH178" s="214"/>
      <c r="HI178" s="214"/>
      <c r="HJ178" s="214"/>
      <c r="HK178" s="214"/>
      <c r="HL178" s="214"/>
      <c r="HM178" s="214"/>
      <c r="HN178" s="214"/>
      <c r="HO178" s="214"/>
      <c r="HP178" s="214"/>
      <c r="HQ178" s="214"/>
      <c r="HR178" s="214"/>
      <c r="HS178" s="214"/>
      <c r="HT178" s="214"/>
      <c r="HU178" s="214"/>
      <c r="HV178" s="214"/>
      <c r="HW178" s="214"/>
      <c r="HX178" s="214"/>
      <c r="HY178" s="214"/>
      <c r="HZ178" s="214"/>
      <c r="IA178" s="214"/>
      <c r="IB178" s="214"/>
      <c r="IC178" s="214"/>
      <c r="ID178" s="214"/>
      <c r="IE178" s="214"/>
      <c r="IF178" s="214"/>
      <c r="IG178" s="214"/>
      <c r="IH178" s="214"/>
      <c r="II178" s="214"/>
      <c r="IJ178" s="214"/>
      <c r="IK178" s="214"/>
      <c r="IL178" s="214"/>
      <c r="IM178" s="214"/>
      <c r="IN178" s="214"/>
      <c r="IO178" s="214"/>
      <c r="IP178" s="214"/>
      <c r="IQ178" s="214"/>
      <c r="IR178" s="214"/>
      <c r="IS178" s="214"/>
      <c r="IT178" s="214"/>
      <c r="IU178" s="214"/>
      <c r="IV178" s="214"/>
      <c r="IW178" s="214"/>
      <c r="IX178" s="214"/>
      <c r="IY178" s="214"/>
      <c r="IZ178" s="214"/>
      <c r="JA178" s="214"/>
      <c r="JB178" s="214"/>
      <c r="JC178" s="214"/>
      <c r="JD178" s="214"/>
      <c r="JE178" s="214"/>
      <c r="JF178" s="214"/>
      <c r="JG178" s="214"/>
      <c r="JH178" s="214"/>
      <c r="JI178" s="214"/>
    </row>
    <row r="179" spans="1:269">
      <c r="A179" s="214"/>
      <c r="B179" s="214"/>
      <c r="C179" s="214"/>
      <c r="D179" s="214"/>
      <c r="E179" s="214"/>
      <c r="F179" s="214"/>
      <c r="G179" s="214"/>
      <c r="H179" s="214"/>
      <c r="I179" s="214"/>
      <c r="J179" s="214"/>
      <c r="K179" s="214"/>
      <c r="L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c r="CG179" s="214"/>
      <c r="CH179" s="214"/>
      <c r="CI179" s="214"/>
      <c r="CJ179" s="214"/>
      <c r="CK179" s="214"/>
      <c r="CL179" s="214"/>
      <c r="CM179" s="214"/>
      <c r="CN179" s="214"/>
      <c r="CO179" s="214"/>
      <c r="CP179" s="214"/>
      <c r="CQ179" s="214"/>
      <c r="CR179" s="214"/>
      <c r="CS179" s="214"/>
      <c r="CT179" s="214"/>
      <c r="CU179" s="214"/>
      <c r="CV179" s="214"/>
      <c r="CW179" s="214"/>
      <c r="CX179" s="214"/>
      <c r="CY179" s="214"/>
      <c r="CZ179" s="214"/>
      <c r="DA179" s="214"/>
      <c r="DB179" s="214"/>
      <c r="DC179" s="214"/>
      <c r="DD179" s="214"/>
      <c r="DE179" s="214"/>
      <c r="DF179" s="214"/>
      <c r="DG179" s="214"/>
      <c r="DH179" s="214"/>
      <c r="DI179" s="214"/>
      <c r="DJ179" s="214"/>
      <c r="DK179" s="214"/>
      <c r="DL179" s="214"/>
      <c r="DM179" s="214"/>
      <c r="DN179" s="214"/>
      <c r="DO179" s="214"/>
      <c r="DP179" s="214"/>
      <c r="DQ179" s="214"/>
      <c r="DR179" s="214"/>
      <c r="DS179" s="214"/>
      <c r="DT179" s="214"/>
      <c r="DU179" s="214"/>
      <c r="DV179" s="214"/>
      <c r="DW179" s="214"/>
      <c r="DX179" s="214"/>
      <c r="DY179" s="214"/>
      <c r="DZ179" s="214"/>
      <c r="EA179" s="214"/>
      <c r="EB179" s="214"/>
      <c r="EC179" s="214"/>
      <c r="ED179" s="214"/>
      <c r="EE179" s="214"/>
      <c r="EF179" s="214"/>
      <c r="EG179" s="214"/>
      <c r="EH179" s="214"/>
      <c r="EI179" s="214"/>
      <c r="EJ179" s="214"/>
      <c r="EK179" s="214"/>
      <c r="EL179" s="214"/>
      <c r="EM179" s="214"/>
      <c r="EN179" s="214"/>
      <c r="EO179" s="214"/>
      <c r="EP179" s="214"/>
      <c r="EQ179" s="214"/>
      <c r="ER179" s="214"/>
      <c r="ES179" s="214"/>
      <c r="ET179" s="214"/>
      <c r="EU179" s="214"/>
      <c r="EV179" s="214"/>
      <c r="EW179" s="214"/>
      <c r="EX179" s="214"/>
      <c r="EY179" s="214"/>
      <c r="EZ179" s="214"/>
      <c r="FA179" s="214"/>
      <c r="FB179" s="214"/>
      <c r="FC179" s="214"/>
      <c r="FD179" s="214"/>
      <c r="FE179" s="214"/>
      <c r="FF179" s="214"/>
      <c r="FG179" s="214"/>
      <c r="FH179" s="214"/>
      <c r="FI179" s="214"/>
      <c r="FJ179" s="214"/>
      <c r="FK179" s="214"/>
      <c r="FL179" s="214"/>
      <c r="FM179" s="214"/>
      <c r="FN179" s="214"/>
      <c r="FO179" s="214"/>
      <c r="FP179" s="214"/>
      <c r="FQ179" s="214"/>
      <c r="FR179" s="214"/>
      <c r="FS179" s="214"/>
      <c r="FT179" s="214"/>
      <c r="FU179" s="214"/>
      <c r="FV179" s="214"/>
      <c r="FW179" s="214"/>
      <c r="FX179" s="214"/>
      <c r="FY179" s="214"/>
      <c r="FZ179" s="214"/>
      <c r="GA179" s="214"/>
      <c r="GB179" s="214"/>
      <c r="GC179" s="214"/>
      <c r="GD179" s="214"/>
      <c r="GE179" s="214"/>
      <c r="GF179" s="214"/>
      <c r="GG179" s="214"/>
      <c r="GH179" s="214"/>
      <c r="GI179" s="214"/>
      <c r="GJ179" s="214"/>
      <c r="GK179" s="214"/>
      <c r="GL179" s="214"/>
      <c r="GM179" s="214"/>
      <c r="GN179" s="214"/>
      <c r="GO179" s="214"/>
      <c r="GP179" s="214"/>
      <c r="GQ179" s="214"/>
      <c r="GR179" s="214"/>
      <c r="GS179" s="214"/>
      <c r="GT179" s="214"/>
      <c r="GU179" s="214"/>
      <c r="GV179" s="214"/>
      <c r="GW179" s="214"/>
      <c r="GX179" s="214"/>
      <c r="GY179" s="214"/>
      <c r="GZ179" s="214"/>
      <c r="HA179" s="214"/>
      <c r="HB179" s="214"/>
      <c r="HC179" s="214"/>
      <c r="HD179" s="214"/>
      <c r="HE179" s="214"/>
      <c r="HF179" s="214"/>
      <c r="HG179" s="214"/>
      <c r="HH179" s="214"/>
      <c r="HI179" s="214"/>
      <c r="HJ179" s="214"/>
      <c r="HK179" s="214"/>
      <c r="HL179" s="214"/>
      <c r="HM179" s="214"/>
      <c r="HN179" s="214"/>
      <c r="HO179" s="214"/>
      <c r="HP179" s="214"/>
      <c r="HQ179" s="214"/>
      <c r="HR179" s="214"/>
      <c r="HS179" s="214"/>
      <c r="HT179" s="214"/>
      <c r="HU179" s="214"/>
      <c r="HV179" s="214"/>
      <c r="HW179" s="214"/>
      <c r="HX179" s="214"/>
      <c r="HY179" s="214"/>
      <c r="HZ179" s="214"/>
      <c r="IA179" s="214"/>
      <c r="IB179" s="214"/>
      <c r="IC179" s="214"/>
      <c r="ID179" s="214"/>
      <c r="IE179" s="214"/>
      <c r="IF179" s="214"/>
      <c r="IG179" s="214"/>
      <c r="IH179" s="214"/>
      <c r="II179" s="214"/>
      <c r="IJ179" s="214"/>
      <c r="IK179" s="214"/>
      <c r="IL179" s="214"/>
      <c r="IM179" s="214"/>
      <c r="IN179" s="214"/>
      <c r="IO179" s="214"/>
      <c r="IP179" s="214"/>
      <c r="IQ179" s="214"/>
      <c r="IR179" s="214"/>
      <c r="IS179" s="214"/>
      <c r="IT179" s="214"/>
      <c r="IU179" s="214"/>
      <c r="IV179" s="214"/>
      <c r="IW179" s="214"/>
      <c r="IX179" s="214"/>
      <c r="IY179" s="214"/>
      <c r="IZ179" s="214"/>
      <c r="JA179" s="214"/>
      <c r="JB179" s="214"/>
      <c r="JC179" s="214"/>
      <c r="JD179" s="214"/>
      <c r="JE179" s="214"/>
      <c r="JF179" s="214"/>
      <c r="JG179" s="214"/>
      <c r="JH179" s="214"/>
      <c r="JI179" s="214"/>
    </row>
    <row r="180" spans="1:269">
      <c r="A180" s="214"/>
      <c r="B180" s="214"/>
      <c r="C180" s="214"/>
      <c r="D180" s="214"/>
      <c r="E180" s="214"/>
      <c r="F180" s="214"/>
      <c r="G180" s="214"/>
      <c r="H180" s="214"/>
      <c r="I180" s="214"/>
      <c r="J180" s="214"/>
      <c r="K180" s="214"/>
      <c r="L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c r="CG180" s="214"/>
      <c r="CH180" s="214"/>
      <c r="CI180" s="214"/>
      <c r="CJ180" s="214"/>
      <c r="CK180" s="214"/>
      <c r="CL180" s="214"/>
      <c r="CM180" s="214"/>
      <c r="CN180" s="214"/>
      <c r="CO180" s="214"/>
      <c r="CP180" s="214"/>
      <c r="CQ180" s="214"/>
      <c r="CR180" s="214"/>
      <c r="CS180" s="214"/>
      <c r="CT180" s="214"/>
      <c r="CU180" s="214"/>
      <c r="CV180" s="214"/>
      <c r="CW180" s="214"/>
      <c r="CX180" s="214"/>
      <c r="CY180" s="214"/>
      <c r="CZ180" s="214"/>
      <c r="DA180" s="214"/>
      <c r="DB180" s="214"/>
      <c r="DC180" s="214"/>
      <c r="DD180" s="214"/>
      <c r="DE180" s="214"/>
      <c r="DF180" s="214"/>
      <c r="DG180" s="214"/>
      <c r="DH180" s="214"/>
      <c r="DI180" s="214"/>
      <c r="DJ180" s="214"/>
      <c r="DK180" s="214"/>
      <c r="DL180" s="214"/>
      <c r="DM180" s="214"/>
      <c r="DN180" s="214"/>
      <c r="DO180" s="214"/>
      <c r="DP180" s="214"/>
      <c r="DQ180" s="214"/>
      <c r="DR180" s="214"/>
      <c r="DS180" s="214"/>
      <c r="DT180" s="214"/>
      <c r="DU180" s="214"/>
      <c r="DV180" s="214"/>
      <c r="DW180" s="214"/>
      <c r="DX180" s="214"/>
      <c r="DY180" s="214"/>
      <c r="DZ180" s="214"/>
      <c r="EA180" s="214"/>
      <c r="EB180" s="214"/>
      <c r="EC180" s="214"/>
      <c r="ED180" s="214"/>
      <c r="EE180" s="214"/>
      <c r="EF180" s="214"/>
      <c r="EG180" s="214"/>
      <c r="EH180" s="214"/>
      <c r="EI180" s="214"/>
      <c r="EJ180" s="214"/>
      <c r="EK180" s="214"/>
      <c r="EL180" s="214"/>
      <c r="EM180" s="214"/>
      <c r="EN180" s="214"/>
      <c r="EO180" s="214"/>
      <c r="EP180" s="214"/>
      <c r="EQ180" s="214"/>
      <c r="ER180" s="214"/>
      <c r="ES180" s="214"/>
      <c r="ET180" s="214"/>
      <c r="EU180" s="214"/>
      <c r="EV180" s="214"/>
      <c r="EW180" s="214"/>
      <c r="EX180" s="214"/>
      <c r="EY180" s="214"/>
      <c r="EZ180" s="214"/>
      <c r="FA180" s="214"/>
      <c r="FB180" s="214"/>
      <c r="FC180" s="214"/>
      <c r="FD180" s="214"/>
      <c r="FE180" s="214"/>
      <c r="FF180" s="214"/>
      <c r="FG180" s="214"/>
      <c r="FH180" s="214"/>
      <c r="FI180" s="214"/>
      <c r="FJ180" s="214"/>
      <c r="FK180" s="214"/>
      <c r="FL180" s="214"/>
      <c r="FM180" s="214"/>
      <c r="FN180" s="214"/>
      <c r="FO180" s="214"/>
      <c r="FP180" s="214"/>
      <c r="FQ180" s="214"/>
      <c r="FR180" s="214"/>
      <c r="FS180" s="214"/>
      <c r="FT180" s="214"/>
      <c r="FU180" s="214"/>
      <c r="FV180" s="214"/>
      <c r="FW180" s="214"/>
      <c r="FX180" s="214"/>
      <c r="FY180" s="214"/>
      <c r="FZ180" s="214"/>
      <c r="GA180" s="214"/>
      <c r="GB180" s="214"/>
      <c r="GC180" s="214"/>
      <c r="GD180" s="214"/>
      <c r="GE180" s="214"/>
      <c r="GF180" s="214"/>
      <c r="GG180" s="214"/>
      <c r="GH180" s="214"/>
      <c r="GI180" s="214"/>
      <c r="GJ180" s="214"/>
      <c r="GK180" s="214"/>
      <c r="GL180" s="214"/>
      <c r="GM180" s="214"/>
      <c r="GN180" s="214"/>
      <c r="GO180" s="214"/>
      <c r="GP180" s="214"/>
      <c r="GQ180" s="214"/>
      <c r="GR180" s="214"/>
      <c r="GS180" s="214"/>
      <c r="GT180" s="214"/>
      <c r="GU180" s="214"/>
      <c r="GV180" s="214"/>
      <c r="GW180" s="214"/>
      <c r="GX180" s="214"/>
      <c r="GY180" s="214"/>
      <c r="GZ180" s="214"/>
      <c r="HA180" s="214"/>
      <c r="HB180" s="214"/>
      <c r="HC180" s="214"/>
      <c r="HD180" s="214"/>
      <c r="HE180" s="214"/>
      <c r="HF180" s="214"/>
      <c r="HG180" s="214"/>
      <c r="HH180" s="214"/>
      <c r="HI180" s="214"/>
      <c r="HJ180" s="214"/>
      <c r="HK180" s="214"/>
      <c r="HL180" s="214"/>
      <c r="HM180" s="214"/>
      <c r="HN180" s="214"/>
      <c r="HO180" s="214"/>
      <c r="HP180" s="214"/>
      <c r="HQ180" s="214"/>
      <c r="HR180" s="214"/>
      <c r="HS180" s="214"/>
      <c r="HT180" s="214"/>
      <c r="HU180" s="214"/>
      <c r="HV180" s="214"/>
      <c r="HW180" s="214"/>
      <c r="HX180" s="214"/>
      <c r="HY180" s="214"/>
      <c r="HZ180" s="214"/>
      <c r="IA180" s="214"/>
      <c r="IB180" s="214"/>
      <c r="IC180" s="214"/>
      <c r="ID180" s="214"/>
      <c r="IE180" s="214"/>
      <c r="IF180" s="214"/>
      <c r="IG180" s="214"/>
      <c r="IH180" s="214"/>
      <c r="II180" s="214"/>
      <c r="IJ180" s="214"/>
      <c r="IK180" s="214"/>
      <c r="IL180" s="214"/>
      <c r="IM180" s="214"/>
      <c r="IN180" s="214"/>
      <c r="IO180" s="214"/>
      <c r="IP180" s="214"/>
      <c r="IQ180" s="214"/>
      <c r="IR180" s="214"/>
      <c r="IS180" s="214"/>
      <c r="IT180" s="214"/>
      <c r="IU180" s="214"/>
      <c r="IV180" s="214"/>
      <c r="IW180" s="214"/>
      <c r="IX180" s="214"/>
      <c r="IY180" s="214"/>
      <c r="IZ180" s="214"/>
      <c r="JA180" s="214"/>
      <c r="JB180" s="214"/>
      <c r="JC180" s="214"/>
      <c r="JD180" s="214"/>
      <c r="JE180" s="214"/>
      <c r="JF180" s="214"/>
      <c r="JG180" s="214"/>
      <c r="JH180" s="214"/>
      <c r="JI180" s="214"/>
    </row>
    <row r="181" spans="1:269">
      <c r="A181" s="214"/>
      <c r="B181" s="214"/>
      <c r="C181" s="214"/>
      <c r="D181" s="214"/>
      <c r="E181" s="214"/>
      <c r="F181" s="214"/>
      <c r="G181" s="214"/>
      <c r="H181" s="214"/>
      <c r="I181" s="214"/>
      <c r="J181" s="214"/>
      <c r="K181" s="214"/>
      <c r="L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c r="CG181" s="214"/>
      <c r="CH181" s="214"/>
      <c r="CI181" s="214"/>
      <c r="CJ181" s="214"/>
      <c r="CK181" s="214"/>
      <c r="CL181" s="214"/>
      <c r="CM181" s="214"/>
      <c r="CN181" s="214"/>
      <c r="CO181" s="214"/>
      <c r="CP181" s="214"/>
      <c r="CQ181" s="214"/>
      <c r="CR181" s="214"/>
      <c r="CS181" s="214"/>
      <c r="CT181" s="214"/>
      <c r="CU181" s="214"/>
      <c r="CV181" s="214"/>
      <c r="CW181" s="214"/>
      <c r="CX181" s="214"/>
      <c r="CY181" s="214"/>
      <c r="CZ181" s="214"/>
      <c r="DA181" s="214"/>
      <c r="DB181" s="214"/>
      <c r="DC181" s="214"/>
      <c r="DD181" s="214"/>
      <c r="DE181" s="214"/>
      <c r="DF181" s="214"/>
      <c r="DG181" s="214"/>
      <c r="DH181" s="214"/>
      <c r="DI181" s="214"/>
      <c r="DJ181" s="214"/>
      <c r="DK181" s="214"/>
      <c r="DL181" s="214"/>
      <c r="DM181" s="214"/>
      <c r="DN181" s="214"/>
      <c r="DO181" s="214"/>
      <c r="DP181" s="214"/>
      <c r="DQ181" s="214"/>
      <c r="DR181" s="214"/>
      <c r="DS181" s="214"/>
      <c r="DT181" s="214"/>
      <c r="DU181" s="214"/>
      <c r="DV181" s="214"/>
      <c r="DW181" s="214"/>
      <c r="DX181" s="214"/>
      <c r="DY181" s="214"/>
      <c r="DZ181" s="214"/>
      <c r="EA181" s="214"/>
      <c r="EB181" s="214"/>
      <c r="EC181" s="214"/>
      <c r="ED181" s="214"/>
      <c r="EE181" s="214"/>
      <c r="EF181" s="214"/>
      <c r="EG181" s="214"/>
      <c r="EH181" s="214"/>
      <c r="EI181" s="214"/>
      <c r="EJ181" s="214"/>
      <c r="EK181" s="214"/>
      <c r="EL181" s="214"/>
      <c r="EM181" s="214"/>
      <c r="EN181" s="214"/>
      <c r="EO181" s="214"/>
      <c r="EP181" s="214"/>
      <c r="EQ181" s="214"/>
      <c r="ER181" s="214"/>
      <c r="ES181" s="214"/>
      <c r="ET181" s="214"/>
      <c r="EU181" s="214"/>
      <c r="EV181" s="214"/>
      <c r="EW181" s="214"/>
      <c r="EX181" s="214"/>
      <c r="EY181" s="214"/>
      <c r="EZ181" s="214"/>
      <c r="FA181" s="214"/>
      <c r="FB181" s="214"/>
      <c r="FC181" s="214"/>
      <c r="FD181" s="214"/>
      <c r="FE181" s="214"/>
      <c r="FF181" s="214"/>
      <c r="FG181" s="214"/>
      <c r="FH181" s="214"/>
      <c r="FI181" s="214"/>
      <c r="FJ181" s="214"/>
      <c r="FK181" s="214"/>
      <c r="FL181" s="214"/>
      <c r="FM181" s="214"/>
      <c r="FN181" s="214"/>
      <c r="FO181" s="214"/>
      <c r="FP181" s="214"/>
      <c r="FQ181" s="214"/>
      <c r="FR181" s="214"/>
      <c r="FS181" s="214"/>
      <c r="FT181" s="214"/>
      <c r="FU181" s="214"/>
      <c r="FV181" s="214"/>
      <c r="FW181" s="214"/>
      <c r="FX181" s="214"/>
      <c r="FY181" s="214"/>
      <c r="FZ181" s="214"/>
      <c r="GA181" s="214"/>
      <c r="GB181" s="214"/>
      <c r="GC181" s="214"/>
      <c r="GD181" s="214"/>
      <c r="GE181" s="214"/>
      <c r="GF181" s="214"/>
      <c r="GG181" s="214"/>
      <c r="GH181" s="214"/>
      <c r="GI181" s="214"/>
      <c r="GJ181" s="214"/>
      <c r="GK181" s="214"/>
      <c r="GL181" s="214"/>
      <c r="GM181" s="214"/>
      <c r="GN181" s="214"/>
      <c r="GO181" s="214"/>
      <c r="GP181" s="214"/>
      <c r="GQ181" s="214"/>
      <c r="GR181" s="214"/>
      <c r="GS181" s="214"/>
      <c r="GT181" s="214"/>
      <c r="GU181" s="214"/>
      <c r="GV181" s="214"/>
      <c r="GW181" s="214"/>
      <c r="GX181" s="214"/>
      <c r="GY181" s="214"/>
      <c r="GZ181" s="214"/>
      <c r="HA181" s="214"/>
      <c r="HB181" s="214"/>
      <c r="HC181" s="214"/>
      <c r="HD181" s="214"/>
      <c r="HE181" s="214"/>
      <c r="HF181" s="214"/>
      <c r="HG181" s="214"/>
      <c r="HH181" s="214"/>
      <c r="HI181" s="214"/>
      <c r="HJ181" s="214"/>
      <c r="HK181" s="214"/>
      <c r="HL181" s="214"/>
      <c r="HM181" s="214"/>
      <c r="HN181" s="214"/>
      <c r="HO181" s="214"/>
      <c r="HP181" s="214"/>
      <c r="HQ181" s="214"/>
      <c r="HR181" s="214"/>
      <c r="HS181" s="214"/>
      <c r="HT181" s="214"/>
      <c r="HU181" s="214"/>
      <c r="HV181" s="214"/>
      <c r="HW181" s="214"/>
      <c r="HX181" s="214"/>
      <c r="HY181" s="214"/>
      <c r="HZ181" s="214"/>
      <c r="IA181" s="214"/>
      <c r="IB181" s="214"/>
      <c r="IC181" s="214"/>
      <c r="ID181" s="214"/>
      <c r="IE181" s="214"/>
      <c r="IF181" s="214"/>
      <c r="IG181" s="214"/>
      <c r="IH181" s="214"/>
      <c r="II181" s="214"/>
      <c r="IJ181" s="214"/>
      <c r="IK181" s="214"/>
      <c r="IL181" s="214"/>
      <c r="IM181" s="214"/>
      <c r="IN181" s="214"/>
      <c r="IO181" s="214"/>
      <c r="IP181" s="214"/>
      <c r="IQ181" s="214"/>
      <c r="IR181" s="214"/>
      <c r="IS181" s="214"/>
      <c r="IT181" s="214"/>
      <c r="IU181" s="214"/>
      <c r="IV181" s="214"/>
      <c r="IW181" s="214"/>
      <c r="IX181" s="214"/>
      <c r="IY181" s="214"/>
      <c r="IZ181" s="214"/>
      <c r="JA181" s="214"/>
      <c r="JB181" s="214"/>
      <c r="JC181" s="214"/>
      <c r="JD181" s="214"/>
      <c r="JE181" s="214"/>
      <c r="JF181" s="214"/>
      <c r="JG181" s="214"/>
      <c r="JH181" s="214"/>
      <c r="JI181" s="214"/>
    </row>
    <row r="182" spans="1:269">
      <c r="A182" s="214"/>
      <c r="B182" s="214"/>
      <c r="C182" s="214"/>
      <c r="D182" s="214"/>
      <c r="E182" s="214"/>
      <c r="F182" s="214"/>
      <c r="G182" s="214"/>
      <c r="H182" s="214"/>
      <c r="I182" s="214"/>
      <c r="J182" s="214"/>
      <c r="K182" s="214"/>
      <c r="L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c r="CG182" s="214"/>
      <c r="CH182" s="214"/>
      <c r="CI182" s="214"/>
      <c r="CJ182" s="214"/>
      <c r="CK182" s="214"/>
      <c r="CL182" s="214"/>
      <c r="CM182" s="214"/>
      <c r="CN182" s="214"/>
      <c r="CO182" s="214"/>
      <c r="CP182" s="214"/>
      <c r="CQ182" s="214"/>
      <c r="CR182" s="214"/>
      <c r="CS182" s="214"/>
      <c r="CT182" s="214"/>
      <c r="CU182" s="214"/>
      <c r="CV182" s="214"/>
      <c r="CW182" s="214"/>
      <c r="CX182" s="214"/>
      <c r="CY182" s="214"/>
      <c r="CZ182" s="214"/>
      <c r="DA182" s="214"/>
      <c r="DB182" s="214"/>
      <c r="DC182" s="214"/>
      <c r="DD182" s="214"/>
      <c r="DE182" s="214"/>
      <c r="DF182" s="214"/>
      <c r="DG182" s="214"/>
      <c r="DH182" s="214"/>
      <c r="DI182" s="214"/>
      <c r="DJ182" s="214"/>
      <c r="DK182" s="214"/>
      <c r="DL182" s="214"/>
      <c r="DM182" s="214"/>
      <c r="DN182" s="214"/>
      <c r="DO182" s="214"/>
      <c r="DP182" s="214"/>
      <c r="DQ182" s="214"/>
      <c r="DR182" s="214"/>
      <c r="DS182" s="214"/>
      <c r="DT182" s="214"/>
      <c r="DU182" s="214"/>
      <c r="DV182" s="214"/>
      <c r="DW182" s="214"/>
      <c r="DX182" s="214"/>
      <c r="DY182" s="214"/>
      <c r="DZ182" s="214"/>
      <c r="EA182" s="214"/>
      <c r="EB182" s="214"/>
      <c r="EC182" s="214"/>
      <c r="ED182" s="214"/>
      <c r="EE182" s="214"/>
      <c r="EF182" s="214"/>
      <c r="EG182" s="214"/>
      <c r="EH182" s="214"/>
      <c r="EI182" s="214"/>
      <c r="EJ182" s="214"/>
      <c r="EK182" s="214"/>
      <c r="EL182" s="214"/>
      <c r="EM182" s="214"/>
      <c r="EN182" s="214"/>
      <c r="EO182" s="214"/>
      <c r="EP182" s="214"/>
      <c r="EQ182" s="214"/>
      <c r="ER182" s="214"/>
      <c r="ES182" s="214"/>
      <c r="ET182" s="214"/>
      <c r="EU182" s="214"/>
      <c r="EV182" s="214"/>
      <c r="EW182" s="214"/>
      <c r="EX182" s="214"/>
      <c r="EY182" s="214"/>
      <c r="EZ182" s="214"/>
      <c r="FA182" s="214"/>
      <c r="FB182" s="214"/>
      <c r="FC182" s="214"/>
      <c r="FD182" s="214"/>
      <c r="FE182" s="214"/>
      <c r="FF182" s="214"/>
      <c r="FG182" s="214"/>
      <c r="FH182" s="214"/>
      <c r="FI182" s="214"/>
      <c r="FJ182" s="214"/>
      <c r="FK182" s="214"/>
      <c r="FL182" s="214"/>
      <c r="FM182" s="214"/>
      <c r="FN182" s="214"/>
      <c r="FO182" s="214"/>
      <c r="FP182" s="214"/>
      <c r="FQ182" s="214"/>
      <c r="FR182" s="214"/>
      <c r="FS182" s="214"/>
      <c r="FT182" s="214"/>
      <c r="FU182" s="214"/>
      <c r="FV182" s="214"/>
      <c r="FW182" s="214"/>
      <c r="FX182" s="214"/>
      <c r="FY182" s="214"/>
      <c r="FZ182" s="214"/>
      <c r="GA182" s="214"/>
      <c r="GB182" s="214"/>
      <c r="GC182" s="214"/>
      <c r="GD182" s="214"/>
      <c r="GE182" s="214"/>
      <c r="GF182" s="214"/>
      <c r="GG182" s="214"/>
      <c r="GH182" s="214"/>
      <c r="GI182" s="214"/>
      <c r="GJ182" s="214"/>
      <c r="GK182" s="214"/>
      <c r="GL182" s="214"/>
      <c r="GM182" s="214"/>
      <c r="GN182" s="214"/>
      <c r="GO182" s="214"/>
      <c r="GP182" s="214"/>
      <c r="GQ182" s="214"/>
      <c r="GR182" s="214"/>
      <c r="GS182" s="214"/>
      <c r="GT182" s="214"/>
      <c r="GU182" s="214"/>
      <c r="GV182" s="214"/>
      <c r="GW182" s="214"/>
      <c r="GX182" s="214"/>
      <c r="GY182" s="214"/>
      <c r="GZ182" s="214"/>
      <c r="HA182" s="214"/>
      <c r="HB182" s="214"/>
      <c r="HC182" s="214"/>
      <c r="HD182" s="214"/>
      <c r="HE182" s="214"/>
      <c r="HF182" s="214"/>
      <c r="HG182" s="214"/>
      <c r="HH182" s="214"/>
      <c r="HI182" s="214"/>
      <c r="HJ182" s="214"/>
      <c r="HK182" s="214"/>
      <c r="HL182" s="214"/>
      <c r="HM182" s="214"/>
      <c r="HN182" s="214"/>
      <c r="HO182" s="214"/>
      <c r="HP182" s="214"/>
      <c r="HQ182" s="214"/>
      <c r="HR182" s="214"/>
      <c r="HS182" s="214"/>
      <c r="HT182" s="214"/>
      <c r="HU182" s="214"/>
      <c r="HV182" s="214"/>
      <c r="HW182" s="214"/>
      <c r="HX182" s="214"/>
      <c r="HY182" s="214"/>
      <c r="HZ182" s="214"/>
      <c r="IA182" s="214"/>
      <c r="IB182" s="214"/>
      <c r="IC182" s="214"/>
      <c r="ID182" s="214"/>
      <c r="IE182" s="214"/>
      <c r="IF182" s="214"/>
      <c r="IG182" s="214"/>
      <c r="IH182" s="214"/>
      <c r="II182" s="214"/>
      <c r="IJ182" s="214"/>
      <c r="IK182" s="214"/>
      <c r="IL182" s="214"/>
      <c r="IM182" s="214"/>
      <c r="IN182" s="214"/>
      <c r="IO182" s="214"/>
      <c r="IP182" s="214"/>
      <c r="IQ182" s="214"/>
      <c r="IR182" s="214"/>
      <c r="IS182" s="214"/>
      <c r="IT182" s="214"/>
      <c r="IU182" s="214"/>
      <c r="IV182" s="214"/>
      <c r="IW182" s="214"/>
      <c r="IX182" s="214"/>
      <c r="IY182" s="214"/>
      <c r="IZ182" s="214"/>
      <c r="JA182" s="214"/>
      <c r="JB182" s="214"/>
      <c r="JC182" s="214"/>
      <c r="JD182" s="214"/>
      <c r="JE182" s="214"/>
      <c r="JF182" s="214"/>
      <c r="JG182" s="214"/>
      <c r="JH182" s="214"/>
      <c r="JI182" s="214"/>
    </row>
    <row r="183" spans="1:269">
      <c r="A183" s="214"/>
      <c r="B183" s="214"/>
      <c r="C183" s="214"/>
      <c r="D183" s="214"/>
      <c r="E183" s="214"/>
      <c r="F183" s="214"/>
      <c r="G183" s="214"/>
      <c r="H183" s="214"/>
      <c r="I183" s="214"/>
      <c r="J183" s="214"/>
      <c r="K183" s="214"/>
      <c r="L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c r="CG183" s="214"/>
      <c r="CH183" s="214"/>
      <c r="CI183" s="214"/>
      <c r="CJ183" s="214"/>
      <c r="CK183" s="214"/>
      <c r="CL183" s="214"/>
      <c r="CM183" s="214"/>
      <c r="CN183" s="214"/>
      <c r="CO183" s="214"/>
      <c r="CP183" s="214"/>
      <c r="CQ183" s="214"/>
      <c r="CR183" s="214"/>
      <c r="CS183" s="214"/>
      <c r="CT183" s="214"/>
      <c r="CU183" s="214"/>
      <c r="CV183" s="214"/>
      <c r="CW183" s="214"/>
      <c r="CX183" s="214"/>
      <c r="CY183" s="214"/>
      <c r="CZ183" s="214"/>
      <c r="DA183" s="214"/>
      <c r="DB183" s="214"/>
      <c r="DC183" s="214"/>
      <c r="DD183" s="214"/>
      <c r="DE183" s="214"/>
      <c r="DF183" s="214"/>
      <c r="DG183" s="214"/>
      <c r="DH183" s="214"/>
      <c r="DI183" s="214"/>
      <c r="DJ183" s="214"/>
      <c r="DK183" s="214"/>
      <c r="DL183" s="214"/>
      <c r="DM183" s="214"/>
      <c r="DN183" s="214"/>
      <c r="DO183" s="214"/>
      <c r="DP183" s="214"/>
      <c r="DQ183" s="214"/>
      <c r="DR183" s="214"/>
      <c r="DS183" s="214"/>
      <c r="DT183" s="214"/>
      <c r="DU183" s="214"/>
      <c r="DV183" s="214"/>
      <c r="DW183" s="214"/>
      <c r="DX183" s="214"/>
      <c r="DY183" s="214"/>
      <c r="DZ183" s="214"/>
      <c r="EA183" s="214"/>
      <c r="EB183" s="214"/>
      <c r="EC183" s="214"/>
      <c r="ED183" s="214"/>
      <c r="EE183" s="214"/>
      <c r="EF183" s="214"/>
      <c r="EG183" s="214"/>
      <c r="EH183" s="214"/>
      <c r="EI183" s="214"/>
      <c r="EJ183" s="214"/>
      <c r="EK183" s="214"/>
      <c r="EL183" s="214"/>
      <c r="EM183" s="214"/>
      <c r="EN183" s="214"/>
      <c r="EO183" s="214"/>
      <c r="EP183" s="214"/>
      <c r="EQ183" s="214"/>
      <c r="ER183" s="214"/>
      <c r="ES183" s="214"/>
      <c r="ET183" s="214"/>
      <c r="EU183" s="214"/>
      <c r="EV183" s="214"/>
      <c r="EW183" s="214"/>
      <c r="EX183" s="214"/>
      <c r="EY183" s="214"/>
      <c r="EZ183" s="214"/>
      <c r="FA183" s="214"/>
      <c r="FB183" s="214"/>
      <c r="FC183" s="214"/>
      <c r="FD183" s="214"/>
      <c r="FE183" s="214"/>
      <c r="FF183" s="214"/>
      <c r="FG183" s="214"/>
      <c r="FH183" s="214"/>
      <c r="FI183" s="214"/>
      <c r="FJ183" s="214"/>
      <c r="FK183" s="214"/>
      <c r="FL183" s="214"/>
      <c r="FM183" s="214"/>
      <c r="FN183" s="214"/>
      <c r="FO183" s="214"/>
      <c r="FP183" s="214"/>
      <c r="FQ183" s="214"/>
      <c r="FR183" s="214"/>
      <c r="FS183" s="214"/>
      <c r="FT183" s="214"/>
      <c r="FU183" s="214"/>
      <c r="FV183" s="214"/>
      <c r="FW183" s="214"/>
      <c r="FX183" s="214"/>
      <c r="FY183" s="214"/>
      <c r="FZ183" s="214"/>
      <c r="GA183" s="214"/>
      <c r="GB183" s="214"/>
      <c r="GC183" s="214"/>
      <c r="GD183" s="214"/>
      <c r="GE183" s="214"/>
      <c r="GF183" s="214"/>
      <c r="GG183" s="214"/>
      <c r="GH183" s="214"/>
      <c r="GI183" s="214"/>
      <c r="GJ183" s="214"/>
      <c r="GK183" s="214"/>
      <c r="GL183" s="214"/>
      <c r="GM183" s="214"/>
      <c r="GN183" s="214"/>
      <c r="GO183" s="214"/>
      <c r="GP183" s="214"/>
      <c r="GQ183" s="214"/>
      <c r="GR183" s="214"/>
      <c r="GS183" s="214"/>
      <c r="GT183" s="214"/>
      <c r="GU183" s="214"/>
      <c r="GV183" s="214"/>
      <c r="GW183" s="214"/>
      <c r="GX183" s="214"/>
      <c r="GY183" s="214"/>
      <c r="GZ183" s="214"/>
      <c r="HA183" s="214"/>
      <c r="HB183" s="214"/>
      <c r="HC183" s="214"/>
      <c r="HD183" s="214"/>
      <c r="HE183" s="214"/>
      <c r="HF183" s="214"/>
      <c r="HG183" s="214"/>
      <c r="HH183" s="214"/>
      <c r="HI183" s="214"/>
      <c r="HJ183" s="214"/>
      <c r="HK183" s="214"/>
      <c r="HL183" s="214"/>
      <c r="HM183" s="214"/>
      <c r="HN183" s="214"/>
      <c r="HO183" s="214"/>
      <c r="HP183" s="214"/>
      <c r="HQ183" s="214"/>
      <c r="HR183" s="214"/>
      <c r="HS183" s="214"/>
      <c r="HT183" s="214"/>
      <c r="HU183" s="214"/>
      <c r="HV183" s="214"/>
      <c r="HW183" s="214"/>
      <c r="HX183" s="214"/>
      <c r="HY183" s="214"/>
      <c r="HZ183" s="214"/>
      <c r="IA183" s="214"/>
      <c r="IB183" s="214"/>
      <c r="IC183" s="214"/>
      <c r="ID183" s="214"/>
      <c r="IE183" s="214"/>
      <c r="IF183" s="214"/>
      <c r="IG183" s="214"/>
      <c r="IH183" s="214"/>
      <c r="II183" s="214"/>
      <c r="IJ183" s="214"/>
      <c r="IK183" s="214"/>
      <c r="IL183" s="214"/>
      <c r="IM183" s="214"/>
      <c r="IN183" s="214"/>
      <c r="IO183" s="214"/>
      <c r="IP183" s="214"/>
      <c r="IQ183" s="214"/>
      <c r="IR183" s="214"/>
      <c r="IS183" s="214"/>
      <c r="IT183" s="214"/>
      <c r="IU183" s="214"/>
      <c r="IV183" s="214"/>
      <c r="IW183" s="214"/>
      <c r="IX183" s="214"/>
      <c r="IY183" s="214"/>
      <c r="IZ183" s="214"/>
      <c r="JA183" s="214"/>
      <c r="JB183" s="214"/>
      <c r="JC183" s="214"/>
      <c r="JD183" s="214"/>
      <c r="JE183" s="214"/>
      <c r="JF183" s="214"/>
      <c r="JG183" s="214"/>
      <c r="JH183" s="214"/>
      <c r="JI183" s="214"/>
    </row>
    <row r="184" spans="1:269">
      <c r="A184" s="214"/>
      <c r="B184" s="214"/>
      <c r="C184" s="214"/>
      <c r="D184" s="214"/>
      <c r="E184" s="214"/>
      <c r="F184" s="214"/>
      <c r="G184" s="214"/>
      <c r="H184" s="214"/>
      <c r="I184" s="214"/>
      <c r="J184" s="214"/>
      <c r="K184" s="214"/>
      <c r="L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c r="CG184" s="214"/>
      <c r="CH184" s="214"/>
      <c r="CI184" s="214"/>
      <c r="CJ184" s="214"/>
      <c r="CK184" s="214"/>
      <c r="CL184" s="214"/>
      <c r="CM184" s="214"/>
      <c r="CN184" s="214"/>
      <c r="CO184" s="214"/>
      <c r="CP184" s="214"/>
      <c r="CQ184" s="214"/>
      <c r="CR184" s="214"/>
      <c r="CS184" s="214"/>
      <c r="CT184" s="214"/>
      <c r="CU184" s="214"/>
      <c r="CV184" s="214"/>
      <c r="CW184" s="214"/>
      <c r="CX184" s="214"/>
      <c r="CY184" s="214"/>
      <c r="CZ184" s="214"/>
      <c r="DA184" s="214"/>
      <c r="DB184" s="214"/>
      <c r="DC184" s="214"/>
      <c r="DD184" s="214"/>
      <c r="DE184" s="214"/>
      <c r="DF184" s="214"/>
      <c r="DG184" s="214"/>
      <c r="DH184" s="214"/>
      <c r="DI184" s="214"/>
      <c r="DJ184" s="214"/>
      <c r="DK184" s="214"/>
      <c r="DL184" s="214"/>
      <c r="DM184" s="214"/>
      <c r="DN184" s="214"/>
      <c r="DO184" s="214"/>
      <c r="DP184" s="214"/>
      <c r="DQ184" s="214"/>
      <c r="DR184" s="214"/>
      <c r="DS184" s="214"/>
      <c r="DT184" s="214"/>
      <c r="DU184" s="214"/>
      <c r="DV184" s="214"/>
      <c r="DW184" s="214"/>
      <c r="DX184" s="214"/>
      <c r="DY184" s="214"/>
      <c r="DZ184" s="214"/>
      <c r="EA184" s="214"/>
      <c r="EB184" s="214"/>
      <c r="EC184" s="214"/>
      <c r="ED184" s="214"/>
      <c r="EE184" s="214"/>
      <c r="EF184" s="214"/>
      <c r="EG184" s="214"/>
      <c r="EH184" s="214"/>
      <c r="EI184" s="214"/>
      <c r="EJ184" s="214"/>
      <c r="EK184" s="214"/>
      <c r="EL184" s="214"/>
      <c r="EM184" s="214"/>
      <c r="EN184" s="214"/>
      <c r="EO184" s="214"/>
      <c r="EP184" s="214"/>
      <c r="EQ184" s="214"/>
      <c r="ER184" s="214"/>
      <c r="ES184" s="214"/>
      <c r="ET184" s="214"/>
      <c r="EU184" s="214"/>
      <c r="EV184" s="214"/>
      <c r="EW184" s="214"/>
      <c r="EX184" s="214"/>
      <c r="EY184" s="214"/>
      <c r="EZ184" s="214"/>
      <c r="FA184" s="214"/>
      <c r="FB184" s="214"/>
      <c r="FC184" s="214"/>
      <c r="FD184" s="214"/>
      <c r="FE184" s="214"/>
      <c r="FF184" s="214"/>
      <c r="FG184" s="214"/>
      <c r="FH184" s="214"/>
      <c r="FI184" s="214"/>
      <c r="FJ184" s="214"/>
      <c r="FK184" s="214"/>
      <c r="FL184" s="214"/>
      <c r="FM184" s="214"/>
      <c r="FN184" s="214"/>
      <c r="FO184" s="214"/>
      <c r="FP184" s="214"/>
      <c r="FQ184" s="214"/>
      <c r="FR184" s="214"/>
      <c r="FS184" s="214"/>
      <c r="FT184" s="214"/>
      <c r="FU184" s="214"/>
      <c r="FV184" s="214"/>
      <c r="FW184" s="214"/>
      <c r="FX184" s="214"/>
      <c r="FY184" s="214"/>
      <c r="FZ184" s="214"/>
      <c r="GA184" s="214"/>
      <c r="GB184" s="214"/>
      <c r="GC184" s="214"/>
      <c r="GD184" s="214"/>
      <c r="GE184" s="214"/>
      <c r="GF184" s="214"/>
      <c r="GG184" s="214"/>
      <c r="GH184" s="214"/>
      <c r="GI184" s="214"/>
      <c r="GJ184" s="214"/>
      <c r="GK184" s="214"/>
      <c r="GL184" s="214"/>
      <c r="GM184" s="214"/>
      <c r="GN184" s="214"/>
      <c r="GO184" s="214"/>
      <c r="GP184" s="214"/>
      <c r="GQ184" s="214"/>
      <c r="GR184" s="214"/>
      <c r="GS184" s="214"/>
      <c r="GT184" s="214"/>
      <c r="GU184" s="214"/>
      <c r="GV184" s="214"/>
      <c r="GW184" s="214"/>
      <c r="GX184" s="214"/>
      <c r="GY184" s="214"/>
      <c r="GZ184" s="214"/>
      <c r="HA184" s="214"/>
      <c r="HB184" s="214"/>
      <c r="HC184" s="214"/>
      <c r="HD184" s="214"/>
      <c r="HE184" s="214"/>
      <c r="HF184" s="214"/>
      <c r="HG184" s="214"/>
      <c r="HH184" s="214"/>
      <c r="HI184" s="214"/>
      <c r="HJ184" s="214"/>
      <c r="HK184" s="214"/>
      <c r="HL184" s="214"/>
      <c r="HM184" s="214"/>
      <c r="HN184" s="214"/>
      <c r="HO184" s="214"/>
      <c r="HP184" s="214"/>
      <c r="HQ184" s="214"/>
      <c r="HR184" s="214"/>
      <c r="HS184" s="214"/>
      <c r="HT184" s="214"/>
      <c r="HU184" s="214"/>
      <c r="HV184" s="214"/>
      <c r="HW184" s="214"/>
      <c r="HX184" s="214"/>
      <c r="HY184" s="214"/>
      <c r="HZ184" s="214"/>
      <c r="IA184" s="214"/>
      <c r="IB184" s="214"/>
      <c r="IC184" s="214"/>
      <c r="ID184" s="214"/>
      <c r="IE184" s="214"/>
      <c r="IF184" s="214"/>
      <c r="IG184" s="214"/>
      <c r="IH184" s="214"/>
      <c r="II184" s="214"/>
      <c r="IJ184" s="214"/>
      <c r="IK184" s="214"/>
      <c r="IL184" s="214"/>
      <c r="IM184" s="214"/>
      <c r="IN184" s="214"/>
      <c r="IO184" s="214"/>
      <c r="IP184" s="214"/>
      <c r="IQ184" s="214"/>
      <c r="IR184" s="214"/>
      <c r="IS184" s="214"/>
      <c r="IT184" s="214"/>
      <c r="IU184" s="214"/>
      <c r="IV184" s="214"/>
      <c r="IW184" s="214"/>
      <c r="IX184" s="214"/>
      <c r="IY184" s="214"/>
      <c r="IZ184" s="214"/>
      <c r="JA184" s="214"/>
      <c r="JB184" s="214"/>
      <c r="JC184" s="214"/>
      <c r="JD184" s="214"/>
      <c r="JE184" s="214"/>
      <c r="JF184" s="214"/>
      <c r="JG184" s="214"/>
      <c r="JH184" s="214"/>
      <c r="JI184" s="214"/>
    </row>
    <row r="185" spans="1:269">
      <c r="A185" s="214"/>
      <c r="B185" s="214"/>
      <c r="C185" s="214"/>
      <c r="D185" s="214"/>
      <c r="E185" s="214"/>
      <c r="F185" s="214"/>
      <c r="G185" s="214"/>
      <c r="H185" s="214"/>
      <c r="I185" s="214"/>
      <c r="J185" s="214"/>
      <c r="K185" s="214"/>
      <c r="L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c r="CG185" s="214"/>
      <c r="CH185" s="214"/>
      <c r="CI185" s="214"/>
      <c r="CJ185" s="214"/>
      <c r="CK185" s="214"/>
      <c r="CL185" s="214"/>
      <c r="CM185" s="214"/>
      <c r="CN185" s="214"/>
      <c r="CO185" s="214"/>
      <c r="CP185" s="214"/>
      <c r="CQ185" s="214"/>
      <c r="CR185" s="214"/>
      <c r="CS185" s="214"/>
      <c r="CT185" s="214"/>
      <c r="CU185" s="214"/>
      <c r="CV185" s="214"/>
      <c r="CW185" s="214"/>
      <c r="CX185" s="214"/>
      <c r="CY185" s="214"/>
      <c r="CZ185" s="214"/>
      <c r="DA185" s="214"/>
      <c r="DB185" s="214"/>
      <c r="DC185" s="214"/>
      <c r="DD185" s="214"/>
      <c r="DE185" s="214"/>
      <c r="DF185" s="214"/>
      <c r="DG185" s="214"/>
      <c r="DH185" s="214"/>
      <c r="DI185" s="214"/>
      <c r="DJ185" s="214"/>
      <c r="DK185" s="214"/>
      <c r="DL185" s="214"/>
      <c r="DM185" s="214"/>
      <c r="DN185" s="214"/>
      <c r="DO185" s="214"/>
      <c r="DP185" s="214"/>
      <c r="DQ185" s="214"/>
      <c r="DR185" s="214"/>
      <c r="DS185" s="214"/>
      <c r="DT185" s="214"/>
      <c r="DU185" s="214"/>
      <c r="DV185" s="214"/>
      <c r="DW185" s="214"/>
      <c r="DX185" s="214"/>
      <c r="DY185" s="214"/>
      <c r="DZ185" s="214"/>
      <c r="EA185" s="214"/>
      <c r="EB185" s="214"/>
      <c r="EC185" s="214"/>
      <c r="ED185" s="214"/>
      <c r="EE185" s="214"/>
      <c r="EF185" s="214"/>
      <c r="EG185" s="214"/>
      <c r="EH185" s="214"/>
      <c r="EI185" s="214"/>
      <c r="EJ185" s="214"/>
      <c r="EK185" s="214"/>
      <c r="EL185" s="214"/>
      <c r="EM185" s="214"/>
      <c r="EN185" s="214"/>
      <c r="EO185" s="214"/>
      <c r="EP185" s="214"/>
      <c r="EQ185" s="214"/>
      <c r="ER185" s="214"/>
      <c r="ES185" s="214"/>
      <c r="ET185" s="214"/>
      <c r="EU185" s="214"/>
      <c r="EV185" s="214"/>
      <c r="EW185" s="214"/>
      <c r="EX185" s="214"/>
      <c r="EY185" s="214"/>
      <c r="EZ185" s="214"/>
      <c r="FA185" s="214"/>
      <c r="FB185" s="214"/>
      <c r="FC185" s="214"/>
      <c r="FD185" s="214"/>
      <c r="FE185" s="214"/>
      <c r="FF185" s="214"/>
      <c r="FG185" s="214"/>
      <c r="FH185" s="214"/>
      <c r="FI185" s="214"/>
      <c r="FJ185" s="214"/>
      <c r="FK185" s="214"/>
      <c r="FL185" s="214"/>
      <c r="FM185" s="214"/>
      <c r="FN185" s="214"/>
      <c r="FO185" s="214"/>
      <c r="FP185" s="214"/>
      <c r="FQ185" s="214"/>
      <c r="FR185" s="214"/>
      <c r="FS185" s="214"/>
      <c r="FT185" s="214"/>
      <c r="FU185" s="214"/>
      <c r="FV185" s="214"/>
      <c r="FW185" s="214"/>
      <c r="FX185" s="214"/>
      <c r="FY185" s="214"/>
      <c r="FZ185" s="214"/>
      <c r="GA185" s="214"/>
      <c r="GB185" s="214"/>
      <c r="GC185" s="214"/>
      <c r="GD185" s="214"/>
      <c r="GE185" s="214"/>
      <c r="GF185" s="214"/>
      <c r="GG185" s="214"/>
      <c r="GH185" s="214"/>
      <c r="GI185" s="214"/>
      <c r="GJ185" s="214"/>
      <c r="GK185" s="214"/>
      <c r="GL185" s="214"/>
      <c r="GM185" s="214"/>
      <c r="GN185" s="214"/>
      <c r="GO185" s="214"/>
      <c r="GP185" s="214"/>
      <c r="GQ185" s="214"/>
      <c r="GR185" s="214"/>
      <c r="GS185" s="214"/>
      <c r="GT185" s="214"/>
      <c r="GU185" s="214"/>
      <c r="GV185" s="214"/>
      <c r="GW185" s="214"/>
      <c r="GX185" s="214"/>
      <c r="GY185" s="214"/>
      <c r="GZ185" s="214"/>
      <c r="HA185" s="214"/>
      <c r="HB185" s="214"/>
      <c r="HC185" s="214"/>
      <c r="HD185" s="214"/>
      <c r="HE185" s="214"/>
      <c r="HF185" s="214"/>
      <c r="HG185" s="214"/>
      <c r="HH185" s="214"/>
      <c r="HI185" s="214"/>
      <c r="HJ185" s="214"/>
      <c r="HK185" s="214"/>
      <c r="HL185" s="214"/>
      <c r="HM185" s="214"/>
      <c r="HN185" s="214"/>
      <c r="HO185" s="214"/>
      <c r="HP185" s="214"/>
      <c r="HQ185" s="214"/>
      <c r="HR185" s="214"/>
      <c r="HS185" s="214"/>
      <c r="HT185" s="214"/>
      <c r="HU185" s="214"/>
      <c r="HV185" s="214"/>
      <c r="HW185" s="214"/>
      <c r="HX185" s="214"/>
      <c r="HY185" s="214"/>
      <c r="HZ185" s="214"/>
      <c r="IA185" s="214"/>
      <c r="IB185" s="214"/>
      <c r="IC185" s="214"/>
      <c r="ID185" s="214"/>
      <c r="IE185" s="214"/>
      <c r="IF185" s="214"/>
      <c r="IG185" s="214"/>
      <c r="IH185" s="214"/>
      <c r="II185" s="214"/>
      <c r="IJ185" s="214"/>
      <c r="IK185" s="214"/>
      <c r="IL185" s="214"/>
      <c r="IM185" s="214"/>
      <c r="IN185" s="214"/>
      <c r="IO185" s="214"/>
      <c r="IP185" s="214"/>
      <c r="IQ185" s="214"/>
      <c r="IR185" s="214"/>
      <c r="IS185" s="214"/>
      <c r="IT185" s="214"/>
      <c r="IU185" s="214"/>
      <c r="IV185" s="214"/>
      <c r="IW185" s="214"/>
      <c r="IX185" s="214"/>
      <c r="IY185" s="214"/>
      <c r="IZ185" s="214"/>
      <c r="JA185" s="214"/>
      <c r="JB185" s="214"/>
      <c r="JC185" s="214"/>
      <c r="JD185" s="214"/>
      <c r="JE185" s="214"/>
      <c r="JF185" s="214"/>
      <c r="JG185" s="214"/>
      <c r="JH185" s="214"/>
      <c r="JI185" s="214"/>
    </row>
    <row r="186" spans="1:269">
      <c r="A186" s="214"/>
      <c r="B186" s="214"/>
      <c r="C186" s="214"/>
      <c r="D186" s="214"/>
      <c r="E186" s="214"/>
      <c r="F186" s="214"/>
      <c r="G186" s="214"/>
      <c r="H186" s="214"/>
      <c r="I186" s="214"/>
      <c r="J186" s="214"/>
      <c r="K186" s="214"/>
      <c r="L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c r="CG186" s="214"/>
      <c r="CH186" s="214"/>
      <c r="CI186" s="214"/>
      <c r="CJ186" s="214"/>
      <c r="CK186" s="214"/>
      <c r="CL186" s="214"/>
      <c r="CM186" s="214"/>
      <c r="CN186" s="214"/>
      <c r="CO186" s="214"/>
      <c r="CP186" s="214"/>
      <c r="CQ186" s="214"/>
      <c r="CR186" s="214"/>
      <c r="CS186" s="214"/>
      <c r="CT186" s="214"/>
      <c r="CU186" s="214"/>
      <c r="CV186" s="214"/>
      <c r="CW186" s="214"/>
      <c r="CX186" s="214"/>
      <c r="CY186" s="214"/>
      <c r="CZ186" s="214"/>
      <c r="DA186" s="214"/>
      <c r="DB186" s="214"/>
      <c r="DC186" s="214"/>
      <c r="DD186" s="214"/>
      <c r="DE186" s="214"/>
      <c r="DF186" s="214"/>
      <c r="DG186" s="214"/>
      <c r="DH186" s="214"/>
      <c r="DI186" s="214"/>
      <c r="DJ186" s="214"/>
      <c r="DK186" s="214"/>
      <c r="DL186" s="214"/>
      <c r="DM186" s="214"/>
      <c r="DN186" s="214"/>
      <c r="DO186" s="214"/>
      <c r="DP186" s="214"/>
      <c r="DQ186" s="214"/>
      <c r="DR186" s="214"/>
      <c r="DS186" s="214"/>
      <c r="DT186" s="214"/>
      <c r="DU186" s="214"/>
      <c r="DV186" s="214"/>
      <c r="DW186" s="214"/>
      <c r="DX186" s="214"/>
      <c r="DY186" s="214"/>
      <c r="DZ186" s="214"/>
      <c r="EA186" s="214"/>
      <c r="EB186" s="214"/>
      <c r="EC186" s="214"/>
      <c r="ED186" s="214"/>
      <c r="EE186" s="214"/>
      <c r="EF186" s="214"/>
      <c r="EG186" s="214"/>
      <c r="EH186" s="214"/>
      <c r="EI186" s="214"/>
      <c r="EJ186" s="214"/>
      <c r="EK186" s="214"/>
      <c r="EL186" s="214"/>
      <c r="EM186" s="214"/>
      <c r="EN186" s="214"/>
      <c r="EO186" s="214"/>
      <c r="EP186" s="214"/>
      <c r="EQ186" s="214"/>
      <c r="ER186" s="214"/>
      <c r="ES186" s="214"/>
      <c r="ET186" s="214"/>
      <c r="EU186" s="214"/>
      <c r="EV186" s="214"/>
      <c r="EW186" s="214"/>
      <c r="EX186" s="214"/>
      <c r="EY186" s="214"/>
      <c r="EZ186" s="214"/>
      <c r="FA186" s="214"/>
      <c r="FB186" s="214"/>
      <c r="FC186" s="214"/>
      <c r="FD186" s="214"/>
      <c r="FE186" s="214"/>
      <c r="FF186" s="214"/>
      <c r="FG186" s="214"/>
      <c r="FH186" s="214"/>
      <c r="FI186" s="214"/>
      <c r="FJ186" s="214"/>
      <c r="FK186" s="214"/>
      <c r="FL186" s="214"/>
      <c r="FM186" s="214"/>
      <c r="FN186" s="214"/>
      <c r="FO186" s="214"/>
      <c r="FP186" s="214"/>
      <c r="FQ186" s="214"/>
      <c r="FR186" s="214"/>
      <c r="FS186" s="214"/>
      <c r="FT186" s="214"/>
      <c r="FU186" s="214"/>
      <c r="FV186" s="214"/>
      <c r="FW186" s="214"/>
      <c r="FX186" s="214"/>
      <c r="FY186" s="214"/>
      <c r="FZ186" s="214"/>
      <c r="GA186" s="214"/>
      <c r="GB186" s="214"/>
      <c r="GC186" s="214"/>
      <c r="GD186" s="214"/>
      <c r="GE186" s="214"/>
      <c r="GF186" s="214"/>
      <c r="GG186" s="214"/>
      <c r="GH186" s="214"/>
      <c r="GI186" s="214"/>
      <c r="GJ186" s="214"/>
      <c r="GK186" s="214"/>
      <c r="GL186" s="214"/>
      <c r="GM186" s="214"/>
      <c r="GN186" s="214"/>
      <c r="GO186" s="214"/>
      <c r="GP186" s="214"/>
      <c r="GQ186" s="214"/>
      <c r="GR186" s="214"/>
      <c r="GS186" s="214"/>
      <c r="GT186" s="214"/>
      <c r="GU186" s="214"/>
      <c r="GV186" s="214"/>
      <c r="GW186" s="214"/>
      <c r="GX186" s="214"/>
      <c r="GY186" s="214"/>
      <c r="GZ186" s="214"/>
      <c r="HA186" s="214"/>
      <c r="HB186" s="214"/>
      <c r="HC186" s="214"/>
      <c r="HD186" s="214"/>
      <c r="HE186" s="214"/>
      <c r="HF186" s="214"/>
      <c r="HG186" s="214"/>
      <c r="HH186" s="214"/>
      <c r="HI186" s="214"/>
      <c r="HJ186" s="214"/>
      <c r="HK186" s="214"/>
      <c r="HL186" s="214"/>
      <c r="HM186" s="214"/>
      <c r="HN186" s="214"/>
      <c r="HO186" s="214"/>
      <c r="HP186" s="214"/>
      <c r="HQ186" s="214"/>
      <c r="HR186" s="214"/>
      <c r="HS186" s="214"/>
      <c r="HT186" s="214"/>
      <c r="HU186" s="214"/>
      <c r="HV186" s="214"/>
      <c r="HW186" s="214"/>
      <c r="HX186" s="214"/>
      <c r="HY186" s="214"/>
      <c r="HZ186" s="214"/>
      <c r="IA186" s="214"/>
      <c r="IB186" s="214"/>
      <c r="IC186" s="214"/>
      <c r="ID186" s="214"/>
      <c r="IE186" s="214"/>
      <c r="IF186" s="214"/>
      <c r="IG186" s="214"/>
      <c r="IH186" s="214"/>
      <c r="II186" s="214"/>
      <c r="IJ186" s="214"/>
      <c r="IK186" s="214"/>
      <c r="IL186" s="214"/>
      <c r="IM186" s="214"/>
      <c r="IN186" s="214"/>
      <c r="IO186" s="214"/>
      <c r="IP186" s="214"/>
      <c r="IQ186" s="214"/>
      <c r="IR186" s="214"/>
      <c r="IS186" s="214"/>
      <c r="IT186" s="214"/>
      <c r="IU186" s="214"/>
      <c r="IV186" s="214"/>
      <c r="IW186" s="214"/>
      <c r="IX186" s="214"/>
      <c r="IY186" s="214"/>
      <c r="IZ186" s="214"/>
      <c r="JA186" s="214"/>
      <c r="JB186" s="214"/>
      <c r="JC186" s="214"/>
      <c r="JD186" s="214"/>
      <c r="JE186" s="214"/>
      <c r="JF186" s="214"/>
      <c r="JG186" s="214"/>
      <c r="JH186" s="214"/>
      <c r="JI186" s="214"/>
    </row>
    <row r="187" spans="1:269">
      <c r="A187" s="214"/>
      <c r="B187" s="214"/>
      <c r="C187" s="214"/>
      <c r="D187" s="214"/>
      <c r="E187" s="214"/>
      <c r="F187" s="214"/>
      <c r="G187" s="214"/>
      <c r="H187" s="214"/>
      <c r="I187" s="214"/>
      <c r="J187" s="214"/>
      <c r="K187" s="214"/>
      <c r="L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c r="CG187" s="214"/>
      <c r="CH187" s="214"/>
      <c r="CI187" s="214"/>
      <c r="CJ187" s="214"/>
      <c r="CK187" s="214"/>
      <c r="CL187" s="214"/>
      <c r="CM187" s="214"/>
      <c r="CN187" s="214"/>
      <c r="CO187" s="214"/>
      <c r="CP187" s="214"/>
      <c r="CQ187" s="214"/>
      <c r="CR187" s="214"/>
      <c r="CS187" s="214"/>
      <c r="CT187" s="214"/>
      <c r="CU187" s="214"/>
      <c r="CV187" s="214"/>
      <c r="CW187" s="214"/>
      <c r="CX187" s="214"/>
      <c r="CY187" s="214"/>
      <c r="CZ187" s="214"/>
      <c r="DA187" s="214"/>
      <c r="DB187" s="214"/>
      <c r="DC187" s="214"/>
      <c r="DD187" s="214"/>
      <c r="DE187" s="214"/>
      <c r="DF187" s="214"/>
      <c r="DG187" s="214"/>
      <c r="DH187" s="214"/>
      <c r="DI187" s="214"/>
      <c r="DJ187" s="214"/>
      <c r="DK187" s="214"/>
      <c r="DL187" s="214"/>
      <c r="DM187" s="214"/>
      <c r="DN187" s="214"/>
      <c r="DO187" s="214"/>
      <c r="DP187" s="214"/>
      <c r="DQ187" s="214"/>
      <c r="DR187" s="214"/>
      <c r="DS187" s="214"/>
      <c r="DT187" s="214"/>
      <c r="DU187" s="214"/>
      <c r="DV187" s="214"/>
      <c r="DW187" s="214"/>
      <c r="DX187" s="214"/>
      <c r="DY187" s="214"/>
      <c r="DZ187" s="214"/>
      <c r="EA187" s="214"/>
      <c r="EB187" s="214"/>
      <c r="EC187" s="214"/>
      <c r="ED187" s="214"/>
      <c r="EE187" s="214"/>
      <c r="EF187" s="214"/>
      <c r="EG187" s="214"/>
      <c r="EH187" s="214"/>
      <c r="EI187" s="214"/>
      <c r="EJ187" s="214"/>
      <c r="EK187" s="214"/>
      <c r="EL187" s="214"/>
      <c r="EM187" s="214"/>
      <c r="EN187" s="214"/>
      <c r="EO187" s="214"/>
      <c r="EP187" s="214"/>
      <c r="EQ187" s="214"/>
      <c r="ER187" s="214"/>
      <c r="ES187" s="214"/>
      <c r="ET187" s="214"/>
      <c r="EU187" s="214"/>
      <c r="EV187" s="214"/>
      <c r="EW187" s="214"/>
      <c r="EX187" s="214"/>
      <c r="EY187" s="214"/>
      <c r="EZ187" s="214"/>
      <c r="FA187" s="214"/>
      <c r="FB187" s="214"/>
      <c r="FC187" s="214"/>
      <c r="FD187" s="214"/>
      <c r="FE187" s="214"/>
      <c r="FF187" s="214"/>
      <c r="FG187" s="214"/>
      <c r="FH187" s="214"/>
      <c r="FI187" s="214"/>
      <c r="FJ187" s="214"/>
      <c r="FK187" s="214"/>
      <c r="FL187" s="214"/>
      <c r="FM187" s="214"/>
      <c r="FN187" s="214"/>
      <c r="FO187" s="214"/>
      <c r="FP187" s="214"/>
      <c r="FQ187" s="214"/>
      <c r="FR187" s="214"/>
      <c r="FS187" s="214"/>
      <c r="FT187" s="214"/>
      <c r="FU187" s="214"/>
      <c r="FV187" s="214"/>
      <c r="FW187" s="214"/>
      <c r="FX187" s="214"/>
      <c r="FY187" s="214"/>
      <c r="FZ187" s="214"/>
      <c r="GA187" s="214"/>
      <c r="GB187" s="214"/>
      <c r="GC187" s="214"/>
      <c r="GD187" s="214"/>
      <c r="GE187" s="214"/>
      <c r="GF187" s="214"/>
      <c r="GG187" s="214"/>
      <c r="GH187" s="214"/>
      <c r="GI187" s="214"/>
      <c r="GJ187" s="214"/>
      <c r="GK187" s="214"/>
      <c r="GL187" s="214"/>
      <c r="GM187" s="214"/>
      <c r="GN187" s="214"/>
      <c r="GO187" s="214"/>
      <c r="GP187" s="214"/>
      <c r="GQ187" s="214"/>
      <c r="GR187" s="214"/>
      <c r="GS187" s="214"/>
      <c r="GT187" s="214"/>
      <c r="GU187" s="214"/>
      <c r="GV187" s="214"/>
      <c r="GW187" s="214"/>
      <c r="GX187" s="214"/>
      <c r="GY187" s="214"/>
      <c r="GZ187" s="214"/>
      <c r="HA187" s="214"/>
      <c r="HB187" s="214"/>
      <c r="HC187" s="214"/>
      <c r="HD187" s="214"/>
      <c r="HE187" s="214"/>
      <c r="HF187" s="214"/>
      <c r="HG187" s="214"/>
      <c r="HH187" s="214"/>
      <c r="HI187" s="214"/>
      <c r="HJ187" s="214"/>
      <c r="HK187" s="214"/>
      <c r="HL187" s="214"/>
      <c r="HM187" s="214"/>
      <c r="HN187" s="214"/>
      <c r="HO187" s="214"/>
      <c r="HP187" s="214"/>
      <c r="HQ187" s="214"/>
      <c r="HR187" s="214"/>
      <c r="HS187" s="214"/>
      <c r="HT187" s="214"/>
      <c r="HU187" s="214"/>
      <c r="HV187" s="214"/>
      <c r="HW187" s="214"/>
      <c r="HX187" s="214"/>
      <c r="HY187" s="214"/>
      <c r="HZ187" s="214"/>
      <c r="IA187" s="214"/>
      <c r="IB187" s="214"/>
      <c r="IC187" s="214"/>
      <c r="ID187" s="214"/>
      <c r="IE187" s="214"/>
      <c r="IF187" s="214"/>
      <c r="IG187" s="214"/>
      <c r="IH187" s="214"/>
      <c r="II187" s="214"/>
      <c r="IJ187" s="214"/>
      <c r="IK187" s="214"/>
      <c r="IL187" s="214"/>
      <c r="IM187" s="214"/>
      <c r="IN187" s="214"/>
      <c r="IO187" s="214"/>
      <c r="IP187" s="214"/>
      <c r="IQ187" s="214"/>
      <c r="IR187" s="214"/>
      <c r="IS187" s="214"/>
      <c r="IT187" s="214"/>
      <c r="IU187" s="214"/>
      <c r="IV187" s="214"/>
      <c r="IW187" s="214"/>
      <c r="IX187" s="214"/>
      <c r="IY187" s="214"/>
      <c r="IZ187" s="214"/>
      <c r="JA187" s="214"/>
      <c r="JB187" s="214"/>
      <c r="JC187" s="214"/>
      <c r="JD187" s="214"/>
      <c r="JE187" s="214"/>
      <c r="JF187" s="214"/>
      <c r="JG187" s="214"/>
      <c r="JH187" s="214"/>
      <c r="JI187" s="214"/>
    </row>
    <row r="188" spans="1:269">
      <c r="A188" s="214"/>
      <c r="B188" s="214"/>
      <c r="C188" s="214"/>
      <c r="D188" s="214"/>
      <c r="E188" s="214"/>
      <c r="F188" s="214"/>
      <c r="G188" s="214"/>
      <c r="H188" s="214"/>
      <c r="I188" s="214"/>
      <c r="J188" s="214"/>
      <c r="K188" s="214"/>
      <c r="L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c r="CG188" s="214"/>
      <c r="CH188" s="214"/>
      <c r="CI188" s="214"/>
      <c r="CJ188" s="214"/>
      <c r="CK188" s="214"/>
      <c r="CL188" s="214"/>
      <c r="CM188" s="214"/>
      <c r="CN188" s="214"/>
      <c r="CO188" s="214"/>
      <c r="CP188" s="214"/>
      <c r="CQ188" s="214"/>
      <c r="CR188" s="214"/>
      <c r="CS188" s="214"/>
      <c r="CT188" s="214"/>
      <c r="CU188" s="214"/>
      <c r="CV188" s="214"/>
      <c r="CW188" s="214"/>
      <c r="CX188" s="214"/>
      <c r="CY188" s="214"/>
      <c r="CZ188" s="214"/>
      <c r="DA188" s="214"/>
      <c r="DB188" s="214"/>
      <c r="DC188" s="214"/>
      <c r="DD188" s="214"/>
      <c r="DE188" s="214"/>
      <c r="DF188" s="214"/>
      <c r="DG188" s="214"/>
      <c r="DH188" s="214"/>
      <c r="DI188" s="214"/>
      <c r="DJ188" s="214"/>
      <c r="DK188" s="214"/>
      <c r="DL188" s="214"/>
      <c r="DM188" s="214"/>
      <c r="DN188" s="214"/>
      <c r="DO188" s="214"/>
      <c r="DP188" s="214"/>
      <c r="DQ188" s="214"/>
      <c r="DR188" s="214"/>
      <c r="DS188" s="214"/>
      <c r="DT188" s="214"/>
      <c r="DU188" s="214"/>
      <c r="DV188" s="214"/>
      <c r="DW188" s="214"/>
      <c r="DX188" s="214"/>
      <c r="DY188" s="214"/>
      <c r="DZ188" s="214"/>
      <c r="EA188" s="214"/>
      <c r="EB188" s="214"/>
      <c r="EC188" s="214"/>
      <c r="ED188" s="214"/>
      <c r="EE188" s="214"/>
      <c r="EF188" s="214"/>
      <c r="EG188" s="214"/>
      <c r="EH188" s="214"/>
      <c r="EI188" s="214"/>
      <c r="EJ188" s="214"/>
      <c r="EK188" s="214"/>
      <c r="EL188" s="214"/>
      <c r="EM188" s="214"/>
      <c r="EN188" s="214"/>
      <c r="EO188" s="214"/>
      <c r="EP188" s="214"/>
      <c r="EQ188" s="214"/>
      <c r="ER188" s="214"/>
      <c r="ES188" s="214"/>
      <c r="ET188" s="214"/>
      <c r="EU188" s="214"/>
      <c r="EV188" s="214"/>
      <c r="EW188" s="214"/>
      <c r="EX188" s="214"/>
      <c r="EY188" s="214"/>
      <c r="EZ188" s="214"/>
      <c r="FA188" s="214"/>
      <c r="FB188" s="214"/>
      <c r="FC188" s="214"/>
      <c r="FD188" s="214"/>
      <c r="FE188" s="214"/>
      <c r="FF188" s="214"/>
      <c r="FG188" s="214"/>
      <c r="FH188" s="214"/>
      <c r="FI188" s="214"/>
      <c r="FJ188" s="214"/>
      <c r="FK188" s="214"/>
      <c r="FL188" s="214"/>
      <c r="FM188" s="214"/>
      <c r="FN188" s="214"/>
      <c r="FO188" s="214"/>
      <c r="FP188" s="214"/>
      <c r="FQ188" s="214"/>
      <c r="FR188" s="214"/>
      <c r="FS188" s="214"/>
      <c r="FT188" s="214"/>
      <c r="FU188" s="214"/>
      <c r="FV188" s="214"/>
      <c r="FW188" s="214"/>
      <c r="FX188" s="214"/>
      <c r="FY188" s="214"/>
      <c r="FZ188" s="214"/>
      <c r="GA188" s="214"/>
      <c r="GB188" s="214"/>
      <c r="GC188" s="214"/>
      <c r="GD188" s="214"/>
      <c r="GE188" s="214"/>
      <c r="GF188" s="214"/>
      <c r="GG188" s="214"/>
      <c r="GH188" s="214"/>
      <c r="GI188" s="214"/>
      <c r="GJ188" s="214"/>
      <c r="GK188" s="214"/>
      <c r="GL188" s="214"/>
      <c r="GM188" s="214"/>
      <c r="GN188" s="214"/>
      <c r="GO188" s="214"/>
      <c r="GP188" s="214"/>
      <c r="GQ188" s="214"/>
      <c r="GR188" s="214"/>
      <c r="GS188" s="214"/>
      <c r="GT188" s="214"/>
      <c r="GU188" s="214"/>
      <c r="GV188" s="214"/>
      <c r="GW188" s="214"/>
      <c r="GX188" s="214"/>
      <c r="GY188" s="214"/>
      <c r="GZ188" s="214"/>
      <c r="HA188" s="214"/>
      <c r="HB188" s="214"/>
      <c r="HC188" s="214"/>
      <c r="HD188" s="214"/>
      <c r="HE188" s="214"/>
      <c r="HF188" s="214"/>
      <c r="HG188" s="214"/>
      <c r="HH188" s="214"/>
      <c r="HI188" s="214"/>
      <c r="HJ188" s="214"/>
      <c r="HK188" s="214"/>
      <c r="HL188" s="214"/>
      <c r="HM188" s="214"/>
      <c r="HN188" s="214"/>
      <c r="HO188" s="214"/>
      <c r="HP188" s="214"/>
      <c r="HQ188" s="214"/>
      <c r="HR188" s="214"/>
      <c r="HS188" s="214"/>
      <c r="HT188" s="214"/>
      <c r="HU188" s="214"/>
      <c r="HV188" s="214"/>
      <c r="HW188" s="214"/>
      <c r="HX188" s="214"/>
      <c r="HY188" s="214"/>
      <c r="HZ188" s="214"/>
      <c r="IA188" s="214"/>
      <c r="IB188" s="214"/>
      <c r="IC188" s="214"/>
      <c r="ID188" s="214"/>
      <c r="IE188" s="214"/>
      <c r="IF188" s="214"/>
      <c r="IG188" s="214"/>
      <c r="IH188" s="214"/>
      <c r="II188" s="214"/>
      <c r="IJ188" s="214"/>
      <c r="IK188" s="214"/>
      <c r="IL188" s="214"/>
      <c r="IM188" s="214"/>
      <c r="IN188" s="214"/>
      <c r="IO188" s="214"/>
      <c r="IP188" s="214"/>
      <c r="IQ188" s="214"/>
      <c r="IR188" s="214"/>
      <c r="IS188" s="214"/>
      <c r="IT188" s="214"/>
      <c r="IU188" s="214"/>
      <c r="IV188" s="214"/>
      <c r="IW188" s="214"/>
      <c r="IX188" s="214"/>
      <c r="IY188" s="214"/>
      <c r="IZ188" s="214"/>
      <c r="JA188" s="214"/>
      <c r="JB188" s="214"/>
      <c r="JC188" s="214"/>
      <c r="JD188" s="214"/>
      <c r="JE188" s="214"/>
      <c r="JF188" s="214"/>
      <c r="JG188" s="214"/>
      <c r="JH188" s="214"/>
      <c r="JI188" s="214"/>
    </row>
    <row r="189" spans="1:269">
      <c r="A189" s="214"/>
      <c r="B189" s="214"/>
      <c r="C189" s="214"/>
      <c r="D189" s="214"/>
      <c r="E189" s="214"/>
      <c r="F189" s="214"/>
      <c r="G189" s="214"/>
      <c r="H189" s="214"/>
      <c r="I189" s="214"/>
      <c r="J189" s="214"/>
      <c r="K189" s="214"/>
      <c r="L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c r="CG189" s="214"/>
      <c r="CH189" s="214"/>
      <c r="CI189" s="214"/>
      <c r="CJ189" s="214"/>
      <c r="CK189" s="214"/>
      <c r="CL189" s="214"/>
      <c r="CM189" s="214"/>
      <c r="CN189" s="214"/>
      <c r="CO189" s="214"/>
      <c r="CP189" s="214"/>
      <c r="CQ189" s="214"/>
      <c r="CR189" s="214"/>
      <c r="CS189" s="214"/>
      <c r="CT189" s="214"/>
      <c r="CU189" s="214"/>
      <c r="CV189" s="214"/>
      <c r="CW189" s="214"/>
      <c r="CX189" s="214"/>
      <c r="CY189" s="214"/>
      <c r="CZ189" s="214"/>
      <c r="DA189" s="214"/>
      <c r="DB189" s="214"/>
      <c r="DC189" s="214"/>
      <c r="DD189" s="214"/>
      <c r="DE189" s="214"/>
      <c r="DF189" s="214"/>
      <c r="DG189" s="214"/>
      <c r="DH189" s="214"/>
      <c r="DI189" s="214"/>
      <c r="DJ189" s="214"/>
      <c r="DK189" s="214"/>
      <c r="DL189" s="214"/>
      <c r="DM189" s="214"/>
      <c r="DN189" s="214"/>
      <c r="DO189" s="214"/>
      <c r="DP189" s="214"/>
      <c r="DQ189" s="214"/>
      <c r="DR189" s="214"/>
      <c r="DS189" s="214"/>
      <c r="DT189" s="214"/>
      <c r="DU189" s="214"/>
      <c r="DV189" s="214"/>
      <c r="DW189" s="214"/>
      <c r="DX189" s="214"/>
      <c r="DY189" s="214"/>
      <c r="DZ189" s="214"/>
      <c r="EA189" s="214"/>
      <c r="EB189" s="214"/>
      <c r="EC189" s="214"/>
      <c r="ED189" s="214"/>
      <c r="EE189" s="214"/>
      <c r="EF189" s="214"/>
      <c r="EG189" s="214"/>
      <c r="EH189" s="214"/>
      <c r="EI189" s="214"/>
      <c r="EJ189" s="214"/>
      <c r="EK189" s="214"/>
      <c r="EL189" s="214"/>
      <c r="EM189" s="214"/>
      <c r="EN189" s="214"/>
      <c r="EO189" s="214"/>
      <c r="EP189" s="214"/>
      <c r="EQ189" s="214"/>
      <c r="ER189" s="214"/>
      <c r="ES189" s="214"/>
      <c r="ET189" s="214"/>
      <c r="EU189" s="214"/>
      <c r="EV189" s="214"/>
      <c r="EW189" s="214"/>
      <c r="EX189" s="214"/>
      <c r="EY189" s="214"/>
      <c r="EZ189" s="214"/>
      <c r="FA189" s="214"/>
      <c r="FB189" s="214"/>
      <c r="FC189" s="214"/>
      <c r="FD189" s="214"/>
      <c r="FE189" s="214"/>
      <c r="FF189" s="214"/>
      <c r="FG189" s="214"/>
      <c r="FH189" s="214"/>
      <c r="FI189" s="214"/>
      <c r="FJ189" s="214"/>
      <c r="FK189" s="214"/>
      <c r="FL189" s="214"/>
      <c r="FM189" s="214"/>
      <c r="FN189" s="214"/>
      <c r="FO189" s="214"/>
      <c r="FP189" s="214"/>
      <c r="FQ189" s="214"/>
      <c r="FR189" s="214"/>
      <c r="FS189" s="214"/>
      <c r="FT189" s="214"/>
      <c r="FU189" s="214"/>
      <c r="FV189" s="214"/>
      <c r="FW189" s="214"/>
      <c r="FX189" s="214"/>
      <c r="FY189" s="214"/>
      <c r="FZ189" s="214"/>
      <c r="GA189" s="214"/>
      <c r="GB189" s="214"/>
      <c r="GC189" s="214"/>
      <c r="GD189" s="214"/>
      <c r="GE189" s="214"/>
      <c r="GF189" s="214"/>
      <c r="GG189" s="214"/>
      <c r="GH189" s="214"/>
      <c r="GI189" s="214"/>
      <c r="GJ189" s="214"/>
      <c r="GK189" s="214"/>
      <c r="GL189" s="214"/>
      <c r="GM189" s="214"/>
      <c r="GN189" s="214"/>
      <c r="GO189" s="214"/>
      <c r="GP189" s="214"/>
      <c r="GQ189" s="214"/>
      <c r="GR189" s="214"/>
      <c r="GS189" s="214"/>
      <c r="GT189" s="214"/>
      <c r="GU189" s="214"/>
      <c r="GV189" s="214"/>
      <c r="GW189" s="214"/>
      <c r="GX189" s="214"/>
      <c r="GY189" s="214"/>
      <c r="GZ189" s="214"/>
      <c r="HA189" s="214"/>
      <c r="HB189" s="214"/>
      <c r="HC189" s="214"/>
      <c r="HD189" s="214"/>
      <c r="HE189" s="214"/>
      <c r="HF189" s="214"/>
      <c r="HG189" s="214"/>
      <c r="HH189" s="214"/>
      <c r="HI189" s="214"/>
      <c r="HJ189" s="214"/>
      <c r="HK189" s="214"/>
      <c r="HL189" s="214"/>
      <c r="HM189" s="214"/>
      <c r="HN189" s="214"/>
      <c r="HO189" s="214"/>
      <c r="HP189" s="214"/>
      <c r="HQ189" s="214"/>
      <c r="HR189" s="214"/>
      <c r="HS189" s="214"/>
      <c r="HT189" s="214"/>
      <c r="HU189" s="214"/>
      <c r="HV189" s="214"/>
      <c r="HW189" s="214"/>
      <c r="HX189" s="214"/>
      <c r="HY189" s="214"/>
      <c r="HZ189" s="214"/>
      <c r="IA189" s="214"/>
      <c r="IB189" s="214"/>
      <c r="IC189" s="214"/>
      <c r="ID189" s="214"/>
      <c r="IE189" s="214"/>
      <c r="IF189" s="214"/>
      <c r="IG189" s="214"/>
      <c r="IH189" s="214"/>
      <c r="II189" s="214"/>
      <c r="IJ189" s="214"/>
      <c r="IK189" s="214"/>
      <c r="IL189" s="214"/>
      <c r="IM189" s="214"/>
      <c r="IN189" s="214"/>
      <c r="IO189" s="214"/>
      <c r="IP189" s="214"/>
      <c r="IQ189" s="214"/>
      <c r="IR189" s="214"/>
      <c r="IS189" s="214"/>
      <c r="IT189" s="214"/>
      <c r="IU189" s="214"/>
      <c r="IV189" s="214"/>
      <c r="IW189" s="214"/>
      <c r="IX189" s="214"/>
      <c r="IY189" s="214"/>
      <c r="IZ189" s="214"/>
      <c r="JA189" s="214"/>
      <c r="JB189" s="214"/>
      <c r="JC189" s="214"/>
      <c r="JD189" s="214"/>
      <c r="JE189" s="214"/>
      <c r="JF189" s="214"/>
      <c r="JG189" s="214"/>
      <c r="JH189" s="214"/>
      <c r="JI189" s="214"/>
    </row>
    <row r="190" spans="1:269">
      <c r="A190" s="214"/>
      <c r="B190" s="214"/>
      <c r="C190" s="214"/>
      <c r="D190" s="214"/>
      <c r="E190" s="214"/>
      <c r="F190" s="214"/>
      <c r="G190" s="214"/>
      <c r="H190" s="214"/>
      <c r="I190" s="214"/>
      <c r="J190" s="214"/>
      <c r="K190" s="214"/>
      <c r="L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c r="CG190" s="214"/>
      <c r="CH190" s="214"/>
      <c r="CI190" s="214"/>
      <c r="CJ190" s="214"/>
      <c r="CK190" s="214"/>
      <c r="CL190" s="214"/>
      <c r="CM190" s="214"/>
      <c r="CN190" s="214"/>
      <c r="CO190" s="214"/>
      <c r="CP190" s="214"/>
      <c r="CQ190" s="214"/>
      <c r="CR190" s="214"/>
      <c r="CS190" s="214"/>
      <c r="CT190" s="214"/>
      <c r="CU190" s="214"/>
      <c r="CV190" s="214"/>
      <c r="CW190" s="214"/>
      <c r="CX190" s="214"/>
      <c r="CY190" s="214"/>
      <c r="CZ190" s="214"/>
      <c r="DA190" s="214"/>
      <c r="DB190" s="214"/>
      <c r="DC190" s="214"/>
      <c r="DD190" s="214"/>
      <c r="DE190" s="214"/>
      <c r="DF190" s="214"/>
      <c r="DG190" s="214"/>
      <c r="DH190" s="214"/>
      <c r="DI190" s="214"/>
      <c r="DJ190" s="214"/>
      <c r="DK190" s="214"/>
      <c r="DL190" s="214"/>
      <c r="DM190" s="214"/>
      <c r="DN190" s="214"/>
      <c r="DO190" s="214"/>
      <c r="DP190" s="214"/>
      <c r="DQ190" s="214"/>
      <c r="DR190" s="214"/>
      <c r="DS190" s="214"/>
      <c r="DT190" s="214"/>
      <c r="DU190" s="214"/>
      <c r="DV190" s="214"/>
      <c r="DW190" s="214"/>
      <c r="DX190" s="214"/>
      <c r="DY190" s="214"/>
      <c r="DZ190" s="214"/>
      <c r="EA190" s="214"/>
      <c r="EB190" s="214"/>
      <c r="EC190" s="214"/>
      <c r="ED190" s="214"/>
      <c r="EE190" s="214"/>
      <c r="EF190" s="214"/>
      <c r="EG190" s="214"/>
      <c r="EH190" s="214"/>
      <c r="EI190" s="214"/>
      <c r="EJ190" s="214"/>
      <c r="EK190" s="214"/>
      <c r="EL190" s="214"/>
      <c r="EM190" s="214"/>
      <c r="EN190" s="214"/>
      <c r="EO190" s="214"/>
      <c r="EP190" s="214"/>
      <c r="EQ190" s="214"/>
      <c r="ER190" s="214"/>
      <c r="ES190" s="214"/>
      <c r="ET190" s="214"/>
      <c r="EU190" s="214"/>
      <c r="EV190" s="214"/>
      <c r="EW190" s="214"/>
      <c r="EX190" s="214"/>
      <c r="EY190" s="214"/>
      <c r="EZ190" s="214"/>
      <c r="FA190" s="214"/>
      <c r="FB190" s="214"/>
      <c r="FC190" s="214"/>
      <c r="FD190" s="214"/>
      <c r="FE190" s="214"/>
      <c r="FF190" s="214"/>
      <c r="FG190" s="214"/>
      <c r="FH190" s="214"/>
      <c r="FI190" s="214"/>
      <c r="FJ190" s="214"/>
      <c r="FK190" s="214"/>
      <c r="FL190" s="214"/>
      <c r="FM190" s="214"/>
      <c r="FN190" s="214"/>
      <c r="FO190" s="214"/>
      <c r="FP190" s="214"/>
      <c r="FQ190" s="214"/>
      <c r="FR190" s="214"/>
      <c r="FS190" s="214"/>
      <c r="FT190" s="214"/>
      <c r="FU190" s="214"/>
      <c r="FV190" s="214"/>
      <c r="FW190" s="214"/>
      <c r="FX190" s="214"/>
      <c r="FY190" s="214"/>
      <c r="FZ190" s="214"/>
      <c r="GA190" s="214"/>
      <c r="GB190" s="214"/>
      <c r="GC190" s="214"/>
      <c r="GD190" s="214"/>
      <c r="GE190" s="214"/>
      <c r="GF190" s="214"/>
      <c r="GG190" s="214"/>
      <c r="GH190" s="214"/>
      <c r="GI190" s="214"/>
      <c r="GJ190" s="214"/>
      <c r="GK190" s="214"/>
      <c r="GL190" s="214"/>
      <c r="GM190" s="214"/>
      <c r="GN190" s="214"/>
      <c r="GO190" s="214"/>
      <c r="GP190" s="214"/>
      <c r="GQ190" s="214"/>
      <c r="GR190" s="214"/>
      <c r="GS190" s="214"/>
      <c r="GT190" s="214"/>
      <c r="GU190" s="214"/>
      <c r="GV190" s="214"/>
      <c r="GW190" s="214"/>
      <c r="GX190" s="214"/>
      <c r="GY190" s="214"/>
      <c r="GZ190" s="214"/>
      <c r="HA190" s="214"/>
      <c r="HB190" s="214"/>
      <c r="HC190" s="214"/>
      <c r="HD190" s="214"/>
      <c r="HE190" s="214"/>
      <c r="HF190" s="214"/>
      <c r="HG190" s="214"/>
      <c r="HH190" s="214"/>
      <c r="HI190" s="214"/>
      <c r="HJ190" s="214"/>
      <c r="HK190" s="214"/>
      <c r="HL190" s="214"/>
      <c r="HM190" s="214"/>
      <c r="HN190" s="214"/>
      <c r="HO190" s="214"/>
      <c r="HP190" s="214"/>
      <c r="HQ190" s="214"/>
      <c r="HR190" s="214"/>
      <c r="HS190" s="214"/>
      <c r="HT190" s="214"/>
      <c r="HU190" s="214"/>
      <c r="HV190" s="214"/>
      <c r="HW190" s="214"/>
      <c r="HX190" s="214"/>
      <c r="HY190" s="214"/>
      <c r="HZ190" s="214"/>
      <c r="IA190" s="214"/>
      <c r="IB190" s="214"/>
      <c r="IC190" s="214"/>
      <c r="ID190" s="214"/>
      <c r="IE190" s="214"/>
      <c r="IF190" s="214"/>
      <c r="IG190" s="214"/>
      <c r="IH190" s="214"/>
      <c r="II190" s="214"/>
      <c r="IJ190" s="214"/>
      <c r="IK190" s="214"/>
      <c r="IL190" s="214"/>
      <c r="IM190" s="214"/>
      <c r="IN190" s="214"/>
      <c r="IO190" s="214"/>
      <c r="IP190" s="214"/>
      <c r="IQ190" s="214"/>
      <c r="IR190" s="214"/>
      <c r="IS190" s="214"/>
      <c r="IT190" s="214"/>
      <c r="IU190" s="214"/>
      <c r="IV190" s="214"/>
      <c r="IW190" s="214"/>
      <c r="IX190" s="214"/>
      <c r="IY190" s="214"/>
      <c r="IZ190" s="214"/>
      <c r="JA190" s="214"/>
      <c r="JB190" s="214"/>
      <c r="JC190" s="214"/>
      <c r="JD190" s="214"/>
      <c r="JE190" s="214"/>
      <c r="JF190" s="214"/>
      <c r="JG190" s="214"/>
      <c r="JH190" s="214"/>
      <c r="JI190" s="214"/>
    </row>
    <row r="191" spans="1:269">
      <c r="A191" s="214"/>
      <c r="B191" s="214"/>
      <c r="C191" s="214"/>
      <c r="D191" s="214"/>
      <c r="E191" s="214"/>
      <c r="F191" s="214"/>
      <c r="G191" s="214"/>
      <c r="H191" s="214"/>
      <c r="I191" s="214"/>
      <c r="J191" s="214"/>
      <c r="K191" s="214"/>
      <c r="L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c r="CG191" s="214"/>
      <c r="CH191" s="214"/>
      <c r="CI191" s="214"/>
      <c r="CJ191" s="214"/>
      <c r="CK191" s="214"/>
      <c r="CL191" s="214"/>
      <c r="CM191" s="214"/>
      <c r="CN191" s="214"/>
      <c r="CO191" s="214"/>
      <c r="CP191" s="214"/>
      <c r="CQ191" s="214"/>
      <c r="CR191" s="214"/>
      <c r="CS191" s="214"/>
      <c r="CT191" s="214"/>
      <c r="CU191" s="214"/>
      <c r="CV191" s="214"/>
      <c r="CW191" s="214"/>
      <c r="CX191" s="214"/>
      <c r="CY191" s="214"/>
      <c r="CZ191" s="214"/>
      <c r="DA191" s="214"/>
      <c r="DB191" s="214"/>
      <c r="DC191" s="214"/>
      <c r="DD191" s="214"/>
      <c r="DE191" s="214"/>
      <c r="DF191" s="214"/>
      <c r="DG191" s="214"/>
      <c r="DH191" s="214"/>
      <c r="DI191" s="214"/>
      <c r="DJ191" s="214"/>
      <c r="DK191" s="214"/>
      <c r="DL191" s="214"/>
      <c r="DM191" s="214"/>
      <c r="DN191" s="214"/>
      <c r="DO191" s="214"/>
      <c r="DP191" s="214"/>
      <c r="DQ191" s="214"/>
      <c r="DR191" s="214"/>
      <c r="DS191" s="214"/>
      <c r="DT191" s="214"/>
      <c r="DU191" s="214"/>
      <c r="DV191" s="214"/>
      <c r="DW191" s="214"/>
      <c r="DX191" s="214"/>
      <c r="DY191" s="214"/>
      <c r="DZ191" s="214"/>
      <c r="EA191" s="214"/>
      <c r="EB191" s="214"/>
      <c r="EC191" s="214"/>
      <c r="ED191" s="214"/>
      <c r="EE191" s="214"/>
      <c r="EF191" s="214"/>
      <c r="EG191" s="214"/>
      <c r="EH191" s="214"/>
      <c r="EI191" s="214"/>
      <c r="EJ191" s="214"/>
      <c r="EK191" s="214"/>
      <c r="EL191" s="214"/>
      <c r="EM191" s="214"/>
      <c r="EN191" s="214"/>
      <c r="EO191" s="214"/>
      <c r="EP191" s="214"/>
      <c r="EQ191" s="214"/>
      <c r="ER191" s="214"/>
      <c r="ES191" s="214"/>
      <c r="ET191" s="214"/>
      <c r="EU191" s="214"/>
      <c r="EV191" s="214"/>
      <c r="EW191" s="214"/>
      <c r="EX191" s="214"/>
      <c r="EY191" s="214"/>
      <c r="EZ191" s="214"/>
      <c r="FA191" s="214"/>
      <c r="FB191" s="214"/>
      <c r="FC191" s="214"/>
      <c r="FD191" s="214"/>
      <c r="FE191" s="214"/>
      <c r="FF191" s="214"/>
      <c r="FG191" s="214"/>
      <c r="FH191" s="214"/>
      <c r="FI191" s="214"/>
      <c r="FJ191" s="214"/>
      <c r="FK191" s="214"/>
      <c r="FL191" s="214"/>
      <c r="FM191" s="214"/>
      <c r="FN191" s="214"/>
      <c r="FO191" s="214"/>
      <c r="FP191" s="214"/>
      <c r="FQ191" s="214"/>
      <c r="FR191" s="214"/>
      <c r="FS191" s="214"/>
      <c r="FT191" s="214"/>
      <c r="FU191" s="214"/>
      <c r="FV191" s="214"/>
      <c r="FW191" s="214"/>
      <c r="FX191" s="214"/>
      <c r="FY191" s="214"/>
      <c r="FZ191" s="214"/>
      <c r="GA191" s="214"/>
      <c r="GB191" s="214"/>
      <c r="GC191" s="214"/>
      <c r="GD191" s="214"/>
      <c r="GE191" s="214"/>
      <c r="GF191" s="214"/>
      <c r="GG191" s="214"/>
      <c r="GH191" s="214"/>
      <c r="GI191" s="214"/>
      <c r="GJ191" s="214"/>
      <c r="GK191" s="214"/>
      <c r="GL191" s="214"/>
      <c r="GM191" s="214"/>
      <c r="GN191" s="214"/>
      <c r="GO191" s="214"/>
      <c r="GP191" s="214"/>
      <c r="GQ191" s="214"/>
      <c r="GR191" s="214"/>
      <c r="GS191" s="214"/>
      <c r="GT191" s="214"/>
      <c r="GU191" s="214"/>
      <c r="GV191" s="214"/>
      <c r="GW191" s="214"/>
      <c r="GX191" s="214"/>
      <c r="GY191" s="214"/>
      <c r="GZ191" s="214"/>
      <c r="HA191" s="214"/>
      <c r="HB191" s="214"/>
      <c r="HC191" s="214"/>
      <c r="HD191" s="214"/>
      <c r="HE191" s="214"/>
      <c r="HF191" s="214"/>
      <c r="HG191" s="214"/>
      <c r="HH191" s="214"/>
      <c r="HI191" s="214"/>
      <c r="HJ191" s="214"/>
      <c r="HK191" s="214"/>
      <c r="HL191" s="214"/>
      <c r="HM191" s="214"/>
      <c r="HN191" s="214"/>
      <c r="HO191" s="214"/>
      <c r="HP191" s="214"/>
      <c r="HQ191" s="214"/>
      <c r="HR191" s="214"/>
      <c r="HS191" s="214"/>
      <c r="HT191" s="214"/>
      <c r="HU191" s="214"/>
      <c r="HV191" s="214"/>
      <c r="HW191" s="214"/>
      <c r="HX191" s="214"/>
      <c r="HY191" s="214"/>
      <c r="HZ191" s="214"/>
      <c r="IA191" s="214"/>
      <c r="IB191" s="214"/>
      <c r="IC191" s="214"/>
      <c r="ID191" s="214"/>
      <c r="IE191" s="214"/>
      <c r="IF191" s="214"/>
      <c r="IG191" s="214"/>
      <c r="IH191" s="214"/>
      <c r="II191" s="214"/>
      <c r="IJ191" s="214"/>
      <c r="IK191" s="214"/>
      <c r="IL191" s="214"/>
      <c r="IM191" s="214"/>
      <c r="IN191" s="214"/>
      <c r="IO191" s="214"/>
      <c r="IP191" s="214"/>
      <c r="IQ191" s="214"/>
      <c r="IR191" s="214"/>
      <c r="IS191" s="214"/>
      <c r="IT191" s="214"/>
      <c r="IU191" s="214"/>
      <c r="IV191" s="214"/>
      <c r="IW191" s="214"/>
      <c r="IX191" s="214"/>
      <c r="IY191" s="214"/>
      <c r="IZ191" s="214"/>
      <c r="JA191" s="214"/>
      <c r="JB191" s="214"/>
      <c r="JC191" s="214"/>
      <c r="JD191" s="214"/>
      <c r="JE191" s="214"/>
      <c r="JF191" s="214"/>
      <c r="JG191" s="214"/>
      <c r="JH191" s="214"/>
      <c r="JI191" s="214"/>
    </row>
    <row r="192" spans="1:269">
      <c r="A192" s="214"/>
      <c r="B192" s="214"/>
      <c r="C192" s="214"/>
      <c r="D192" s="214"/>
      <c r="E192" s="214"/>
      <c r="F192" s="214"/>
      <c r="G192" s="214"/>
      <c r="H192" s="214"/>
      <c r="I192" s="214"/>
      <c r="J192" s="214"/>
      <c r="K192" s="214"/>
      <c r="L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c r="CG192" s="214"/>
      <c r="CH192" s="214"/>
      <c r="CI192" s="214"/>
      <c r="CJ192" s="214"/>
      <c r="CK192" s="214"/>
      <c r="CL192" s="214"/>
      <c r="CM192" s="214"/>
      <c r="CN192" s="214"/>
      <c r="CO192" s="214"/>
      <c r="CP192" s="214"/>
      <c r="CQ192" s="214"/>
      <c r="CR192" s="214"/>
      <c r="CS192" s="214"/>
      <c r="CT192" s="214"/>
      <c r="CU192" s="214"/>
      <c r="CV192" s="214"/>
      <c r="CW192" s="214"/>
      <c r="CX192" s="214"/>
      <c r="CY192" s="214"/>
      <c r="CZ192" s="214"/>
      <c r="DA192" s="214"/>
      <c r="DB192" s="214"/>
      <c r="DC192" s="214"/>
      <c r="DD192" s="214"/>
      <c r="DE192" s="214"/>
      <c r="DF192" s="214"/>
      <c r="DG192" s="214"/>
      <c r="DH192" s="214"/>
      <c r="DI192" s="214"/>
      <c r="DJ192" s="214"/>
      <c r="DK192" s="214"/>
      <c r="DL192" s="214"/>
      <c r="DM192" s="214"/>
      <c r="DN192" s="214"/>
      <c r="DO192" s="214"/>
      <c r="DP192" s="214"/>
      <c r="DQ192" s="214"/>
      <c r="DR192" s="214"/>
      <c r="DS192" s="214"/>
      <c r="DT192" s="214"/>
      <c r="DU192" s="214"/>
      <c r="DV192" s="214"/>
      <c r="DW192" s="214"/>
      <c r="DX192" s="214"/>
      <c r="DY192" s="214"/>
      <c r="DZ192" s="214"/>
      <c r="EA192" s="214"/>
      <c r="EB192" s="214"/>
      <c r="EC192" s="214"/>
      <c r="ED192" s="214"/>
      <c r="EE192" s="214"/>
      <c r="EF192" s="214"/>
      <c r="EG192" s="214"/>
      <c r="EH192" s="214"/>
      <c r="EI192" s="214"/>
      <c r="EJ192" s="214"/>
      <c r="EK192" s="214"/>
      <c r="EL192" s="214"/>
      <c r="EM192" s="214"/>
      <c r="EN192" s="214"/>
      <c r="EO192" s="214"/>
      <c r="EP192" s="214"/>
      <c r="EQ192" s="214"/>
      <c r="ER192" s="214"/>
      <c r="ES192" s="214"/>
      <c r="ET192" s="214"/>
      <c r="EU192" s="214"/>
      <c r="EV192" s="214"/>
      <c r="EW192" s="214"/>
      <c r="EX192" s="214"/>
      <c r="EY192" s="214"/>
      <c r="EZ192" s="214"/>
      <c r="FA192" s="214"/>
      <c r="FB192" s="214"/>
      <c r="FC192" s="214"/>
      <c r="FD192" s="214"/>
      <c r="FE192" s="214"/>
      <c r="FF192" s="214"/>
      <c r="FG192" s="214"/>
      <c r="FH192" s="214"/>
      <c r="FI192" s="214"/>
      <c r="FJ192" s="214"/>
      <c r="FK192" s="214"/>
      <c r="FL192" s="214"/>
      <c r="FM192" s="214"/>
      <c r="FN192" s="214"/>
      <c r="FO192" s="214"/>
      <c r="FP192" s="214"/>
      <c r="FQ192" s="214"/>
      <c r="FR192" s="214"/>
      <c r="FS192" s="214"/>
      <c r="FT192" s="214"/>
      <c r="FU192" s="214"/>
      <c r="FV192" s="214"/>
      <c r="FW192" s="214"/>
      <c r="FX192" s="214"/>
      <c r="FY192" s="214"/>
      <c r="FZ192" s="214"/>
      <c r="GA192" s="214"/>
      <c r="GB192" s="214"/>
      <c r="GC192" s="214"/>
      <c r="GD192" s="214"/>
      <c r="GE192" s="214"/>
      <c r="GF192" s="214"/>
      <c r="GG192" s="214"/>
      <c r="GH192" s="214"/>
      <c r="GI192" s="214"/>
      <c r="GJ192" s="214"/>
      <c r="GK192" s="214"/>
      <c r="GL192" s="214"/>
      <c r="GM192" s="214"/>
      <c r="GN192" s="214"/>
      <c r="GO192" s="214"/>
      <c r="GP192" s="214"/>
      <c r="GQ192" s="214"/>
      <c r="GR192" s="214"/>
      <c r="GS192" s="214"/>
      <c r="GT192" s="214"/>
      <c r="GU192" s="214"/>
      <c r="GV192" s="214"/>
      <c r="GW192" s="214"/>
      <c r="GX192" s="214"/>
      <c r="GY192" s="214"/>
      <c r="GZ192" s="214"/>
      <c r="HA192" s="214"/>
      <c r="HB192" s="214"/>
      <c r="HC192" s="214"/>
      <c r="HD192" s="214"/>
      <c r="HE192" s="214"/>
      <c r="HF192" s="214"/>
      <c r="HG192" s="214"/>
      <c r="HH192" s="214"/>
      <c r="HI192" s="214"/>
      <c r="HJ192" s="214"/>
      <c r="HK192" s="214"/>
      <c r="HL192" s="214"/>
      <c r="HM192" s="214"/>
      <c r="HN192" s="214"/>
      <c r="HO192" s="214"/>
      <c r="HP192" s="214"/>
      <c r="HQ192" s="214"/>
      <c r="HR192" s="214"/>
      <c r="HS192" s="214"/>
      <c r="HT192" s="214"/>
      <c r="HU192" s="214"/>
      <c r="HV192" s="214"/>
      <c r="HW192" s="214"/>
      <c r="HX192" s="214"/>
      <c r="HY192" s="214"/>
      <c r="HZ192" s="214"/>
      <c r="IA192" s="214"/>
      <c r="IB192" s="214"/>
      <c r="IC192" s="214"/>
      <c r="ID192" s="214"/>
      <c r="IE192" s="214"/>
      <c r="IF192" s="214"/>
      <c r="IG192" s="214"/>
      <c r="IH192" s="214"/>
      <c r="II192" s="214"/>
      <c r="IJ192" s="214"/>
      <c r="IK192" s="214"/>
      <c r="IL192" s="214"/>
      <c r="IM192" s="214"/>
      <c r="IN192" s="214"/>
      <c r="IO192" s="214"/>
      <c r="IP192" s="214"/>
      <c r="IQ192" s="214"/>
      <c r="IR192" s="214"/>
      <c r="IS192" s="214"/>
      <c r="IT192" s="214"/>
      <c r="IU192" s="214"/>
      <c r="IV192" s="214"/>
      <c r="IW192" s="214"/>
      <c r="IX192" s="214"/>
      <c r="IY192" s="214"/>
      <c r="IZ192" s="214"/>
      <c r="JA192" s="214"/>
      <c r="JB192" s="214"/>
      <c r="JC192" s="214"/>
      <c r="JD192" s="214"/>
      <c r="JE192" s="214"/>
      <c r="JF192" s="214"/>
      <c r="JG192" s="214"/>
      <c r="JH192" s="214"/>
      <c r="JI192" s="214"/>
    </row>
    <row r="193" spans="1:269">
      <c r="A193" s="214"/>
      <c r="B193" s="214"/>
      <c r="C193" s="214"/>
      <c r="D193" s="214"/>
      <c r="E193" s="214"/>
      <c r="F193" s="214"/>
      <c r="G193" s="214"/>
      <c r="H193" s="214"/>
      <c r="I193" s="214"/>
      <c r="J193" s="214"/>
      <c r="K193" s="214"/>
      <c r="L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c r="CG193" s="214"/>
      <c r="CH193" s="214"/>
      <c r="CI193" s="214"/>
      <c r="CJ193" s="214"/>
      <c r="CK193" s="214"/>
      <c r="CL193" s="214"/>
      <c r="CM193" s="214"/>
      <c r="CN193" s="214"/>
      <c r="CO193" s="214"/>
      <c r="CP193" s="214"/>
      <c r="CQ193" s="214"/>
      <c r="CR193" s="214"/>
      <c r="CS193" s="214"/>
      <c r="CT193" s="214"/>
      <c r="CU193" s="214"/>
      <c r="CV193" s="214"/>
      <c r="CW193" s="214"/>
      <c r="CX193" s="214"/>
      <c r="CY193" s="214"/>
      <c r="CZ193" s="214"/>
      <c r="DA193" s="214"/>
      <c r="DB193" s="214"/>
      <c r="DC193" s="214"/>
      <c r="DD193" s="214"/>
      <c r="DE193" s="214"/>
      <c r="DF193" s="214"/>
      <c r="DG193" s="214"/>
      <c r="DH193" s="214"/>
      <c r="DI193" s="214"/>
      <c r="DJ193" s="214"/>
      <c r="DK193" s="214"/>
      <c r="DL193" s="214"/>
      <c r="DM193" s="214"/>
      <c r="DN193" s="214"/>
      <c r="DO193" s="214"/>
      <c r="DP193" s="214"/>
      <c r="DQ193" s="214"/>
      <c r="DR193" s="214"/>
      <c r="DS193" s="214"/>
      <c r="DT193" s="214"/>
      <c r="DU193" s="214"/>
      <c r="DV193" s="214"/>
      <c r="DW193" s="214"/>
      <c r="DX193" s="214"/>
      <c r="DY193" s="214"/>
      <c r="DZ193" s="214"/>
      <c r="EA193" s="214"/>
      <c r="EB193" s="214"/>
      <c r="EC193" s="214"/>
      <c r="ED193" s="214"/>
      <c r="EE193" s="214"/>
      <c r="EF193" s="214"/>
      <c r="EG193" s="214"/>
      <c r="EH193" s="214"/>
      <c r="EI193" s="214"/>
      <c r="EJ193" s="214"/>
      <c r="EK193" s="214"/>
      <c r="EL193" s="214"/>
      <c r="EM193" s="214"/>
      <c r="EN193" s="214"/>
      <c r="EO193" s="214"/>
      <c r="EP193" s="214"/>
      <c r="EQ193" s="214"/>
      <c r="ER193" s="214"/>
      <c r="ES193" s="214"/>
      <c r="ET193" s="214"/>
      <c r="EU193" s="214"/>
      <c r="EV193" s="214"/>
      <c r="EW193" s="214"/>
      <c r="EX193" s="214"/>
      <c r="EY193" s="214"/>
      <c r="EZ193" s="214"/>
      <c r="FA193" s="214"/>
      <c r="FB193" s="214"/>
      <c r="FC193" s="214"/>
      <c r="FD193" s="214"/>
      <c r="FE193" s="214"/>
      <c r="FF193" s="214"/>
      <c r="FG193" s="214"/>
      <c r="FH193" s="214"/>
      <c r="FI193" s="214"/>
      <c r="FJ193" s="214"/>
      <c r="FK193" s="214"/>
      <c r="FL193" s="214"/>
      <c r="FM193" s="214"/>
      <c r="FN193" s="214"/>
      <c r="FO193" s="214"/>
      <c r="FP193" s="214"/>
      <c r="FQ193" s="214"/>
      <c r="FR193" s="214"/>
      <c r="FS193" s="214"/>
      <c r="FT193" s="214"/>
      <c r="FU193" s="214"/>
      <c r="FV193" s="214"/>
      <c r="FW193" s="214"/>
      <c r="FX193" s="214"/>
      <c r="FY193" s="214"/>
      <c r="FZ193" s="214"/>
      <c r="GA193" s="214"/>
      <c r="GB193" s="214"/>
      <c r="GC193" s="214"/>
      <c r="GD193" s="214"/>
      <c r="GE193" s="214"/>
      <c r="GF193" s="214"/>
      <c r="GG193" s="214"/>
      <c r="GH193" s="214"/>
      <c r="GI193" s="214"/>
      <c r="GJ193" s="214"/>
      <c r="GK193" s="214"/>
      <c r="GL193" s="214"/>
      <c r="GM193" s="214"/>
      <c r="GN193" s="214"/>
      <c r="GO193" s="214"/>
      <c r="GP193" s="214"/>
      <c r="GQ193" s="214"/>
      <c r="GR193" s="214"/>
      <c r="GS193" s="214"/>
      <c r="GT193" s="214"/>
      <c r="GU193" s="214"/>
      <c r="GV193" s="214"/>
      <c r="GW193" s="214"/>
      <c r="GX193" s="214"/>
      <c r="GY193" s="214"/>
      <c r="GZ193" s="214"/>
      <c r="HA193" s="214"/>
      <c r="HB193" s="214"/>
      <c r="HC193" s="214"/>
      <c r="HD193" s="214"/>
      <c r="HE193" s="214"/>
      <c r="HF193" s="214"/>
      <c r="HG193" s="214"/>
      <c r="HH193" s="214"/>
      <c r="HI193" s="214"/>
      <c r="HJ193" s="214"/>
      <c r="HK193" s="214"/>
      <c r="HL193" s="214"/>
      <c r="HM193" s="214"/>
      <c r="HN193" s="214"/>
      <c r="HO193" s="214"/>
      <c r="HP193" s="214"/>
      <c r="HQ193" s="214"/>
      <c r="HR193" s="214"/>
      <c r="HS193" s="214"/>
      <c r="HT193" s="214"/>
      <c r="HU193" s="214"/>
      <c r="HV193" s="214"/>
      <c r="HW193" s="214"/>
      <c r="HX193" s="214"/>
      <c r="HY193" s="214"/>
      <c r="HZ193" s="214"/>
      <c r="IA193" s="214"/>
      <c r="IB193" s="214"/>
      <c r="IC193" s="214"/>
      <c r="ID193" s="214"/>
      <c r="IE193" s="214"/>
      <c r="IF193" s="214"/>
      <c r="IG193" s="214"/>
      <c r="IH193" s="214"/>
      <c r="II193" s="214"/>
      <c r="IJ193" s="214"/>
      <c r="IK193" s="214"/>
      <c r="IL193" s="214"/>
      <c r="IM193" s="214"/>
      <c r="IN193" s="214"/>
      <c r="IO193" s="214"/>
      <c r="IP193" s="214"/>
      <c r="IQ193" s="214"/>
      <c r="IR193" s="214"/>
      <c r="IS193" s="214"/>
      <c r="IT193" s="214"/>
      <c r="IU193" s="214"/>
      <c r="IV193" s="214"/>
      <c r="IW193" s="214"/>
      <c r="IX193" s="214"/>
      <c r="IY193" s="214"/>
      <c r="IZ193" s="214"/>
      <c r="JA193" s="214"/>
      <c r="JB193" s="214"/>
      <c r="JC193" s="214"/>
      <c r="JD193" s="214"/>
      <c r="JE193" s="214"/>
      <c r="JF193" s="214"/>
      <c r="JG193" s="214"/>
      <c r="JH193" s="214"/>
      <c r="JI193" s="214"/>
    </row>
  </sheetData>
  <pageMargins left="0.23622047244094491" right="0.23622047244094491" top="0.74803149606299213" bottom="0.74803149606299213" header="0.31496062992125984" footer="0.31496062992125984"/>
  <pageSetup paperSize="9" scale="62"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47"/>
  <sheetViews>
    <sheetView zoomScaleNormal="100" workbookViewId="0">
      <selection activeCell="B12" sqref="B12"/>
    </sheetView>
  </sheetViews>
  <sheetFormatPr defaultRowHeight="15"/>
  <cols>
    <col min="1" max="1" width="10.33203125" customWidth="1"/>
    <col min="4" max="4" width="13.21875" customWidth="1"/>
  </cols>
  <sheetData>
    <row r="1" spans="1:63" ht="15.75">
      <c r="A1" s="11" t="s">
        <v>384</v>
      </c>
    </row>
    <row r="2" spans="1:63" ht="15.75">
      <c r="A2" s="770"/>
      <c r="B2" s="770"/>
      <c r="C2" s="770"/>
      <c r="D2" s="770"/>
      <c r="E2" s="770"/>
      <c r="F2" s="770"/>
      <c r="G2" s="770"/>
      <c r="H2" s="770"/>
      <c r="I2" s="770"/>
      <c r="J2" s="770"/>
      <c r="K2" s="770"/>
      <c r="L2" s="770"/>
      <c r="M2" s="770"/>
      <c r="N2" s="770"/>
      <c r="O2" s="770"/>
      <c r="P2" s="770"/>
      <c r="Q2" s="770"/>
      <c r="R2" s="770"/>
      <c r="S2" s="770"/>
      <c r="T2" s="770"/>
      <c r="U2" s="770"/>
      <c r="V2" s="770"/>
      <c r="W2" s="770"/>
      <c r="X2" s="770"/>
      <c r="Y2" s="770"/>
      <c r="Z2" s="770"/>
      <c r="AA2" s="770"/>
      <c r="AB2" s="770"/>
      <c r="AC2" s="770"/>
      <c r="AD2" s="770"/>
      <c r="AE2" s="770"/>
      <c r="AF2" s="770"/>
      <c r="AG2" s="770"/>
      <c r="AH2" s="770"/>
      <c r="AI2" s="770"/>
      <c r="AJ2" s="770"/>
      <c r="AK2" s="770"/>
      <c r="AL2" s="770"/>
      <c r="AM2" s="770"/>
      <c r="AN2" s="770"/>
      <c r="AO2" s="770"/>
      <c r="AP2" s="770"/>
      <c r="AQ2" s="770"/>
      <c r="AR2" s="770"/>
      <c r="AS2" s="770"/>
      <c r="AT2" s="770"/>
      <c r="AU2" s="770"/>
      <c r="AV2" s="770"/>
      <c r="AW2" s="770"/>
      <c r="AX2" s="770"/>
      <c r="AY2" s="770"/>
      <c r="AZ2" s="770"/>
      <c r="BA2" s="770"/>
      <c r="BB2" s="770"/>
      <c r="BC2" s="770"/>
      <c r="BD2" s="770"/>
      <c r="BE2" s="770"/>
      <c r="BF2" s="770"/>
      <c r="BG2" s="770"/>
      <c r="BH2" s="770"/>
      <c r="BI2" s="770"/>
      <c r="BJ2" s="770"/>
      <c r="BK2" s="770"/>
    </row>
    <row r="3" spans="1:63" ht="15.75">
      <c r="A3" s="246" t="e">
        <f>#REF!</f>
        <v>#REF!</v>
      </c>
      <c r="B3" s="85"/>
      <c r="C3" s="85"/>
      <c r="D3" s="85"/>
      <c r="E3" s="770"/>
      <c r="F3" s="770"/>
      <c r="G3" s="770"/>
      <c r="H3" s="770"/>
      <c r="I3" s="770"/>
      <c r="J3" s="770"/>
      <c r="K3" s="770"/>
      <c r="L3" s="770"/>
      <c r="M3" s="770"/>
      <c r="N3" s="770"/>
      <c r="O3" s="770"/>
      <c r="P3" s="770"/>
      <c r="Q3" s="770"/>
      <c r="R3" s="770"/>
      <c r="S3" s="770"/>
      <c r="T3" s="770"/>
      <c r="U3" s="770"/>
      <c r="V3" s="770"/>
      <c r="W3" s="770"/>
      <c r="X3" s="770"/>
      <c r="Y3" s="770"/>
      <c r="Z3" s="770"/>
      <c r="AA3" s="770"/>
      <c r="AB3" s="770"/>
      <c r="AC3" s="770"/>
      <c r="AD3" s="770"/>
      <c r="AE3" s="770"/>
      <c r="AF3" s="770"/>
      <c r="AG3" s="770"/>
      <c r="AH3" s="770"/>
      <c r="AI3" s="770"/>
      <c r="AJ3" s="770"/>
      <c r="AK3" s="770"/>
      <c r="AL3" s="770"/>
      <c r="AM3" s="770"/>
      <c r="AN3" s="770"/>
      <c r="AO3" s="770"/>
      <c r="AP3" s="770"/>
      <c r="AQ3" s="770"/>
      <c r="AR3" s="770"/>
      <c r="AS3" s="770"/>
      <c r="AT3" s="770"/>
      <c r="AU3" s="770"/>
      <c r="AV3" s="770"/>
      <c r="AW3" s="770"/>
      <c r="AX3" s="770"/>
      <c r="AY3" s="770"/>
      <c r="AZ3" s="770"/>
      <c r="BA3" s="770"/>
      <c r="BB3" s="770"/>
      <c r="BC3" s="770"/>
      <c r="BD3" s="770"/>
      <c r="BE3" s="770"/>
      <c r="BF3" s="770"/>
      <c r="BG3" s="770"/>
      <c r="BH3" s="770"/>
      <c r="BI3" s="770"/>
      <c r="BJ3" s="770"/>
      <c r="BK3" s="770"/>
    </row>
    <row r="4" spans="1:63" ht="15.75">
      <c r="A4" s="85"/>
      <c r="B4" s="85"/>
      <c r="C4" s="85"/>
      <c r="D4" s="85"/>
      <c r="E4" s="770"/>
      <c r="F4" s="770"/>
      <c r="G4" s="770"/>
      <c r="H4" s="770"/>
      <c r="I4" s="770"/>
      <c r="J4" s="770"/>
      <c r="K4" s="770"/>
      <c r="L4" s="770"/>
      <c r="M4" s="770"/>
      <c r="N4" s="770"/>
      <c r="O4" s="770"/>
      <c r="P4" s="770"/>
      <c r="Q4" s="770"/>
      <c r="R4" s="770"/>
      <c r="S4" s="770"/>
      <c r="T4" s="770"/>
      <c r="U4" s="770"/>
      <c r="V4" s="770"/>
      <c r="W4" s="770"/>
      <c r="X4" s="770"/>
      <c r="Y4" s="770"/>
      <c r="Z4" s="770"/>
      <c r="AA4" s="770"/>
      <c r="AB4" s="770"/>
      <c r="AC4" s="770"/>
      <c r="AD4" s="770"/>
      <c r="AE4" s="770"/>
      <c r="AF4" s="770"/>
      <c r="AG4" s="770"/>
      <c r="AH4" s="770"/>
      <c r="AI4" s="770"/>
      <c r="AJ4" s="770"/>
      <c r="AK4" s="770"/>
      <c r="AL4" s="770"/>
      <c r="AM4" s="770"/>
      <c r="AN4" s="770"/>
      <c r="AO4" s="770"/>
      <c r="AP4" s="770"/>
      <c r="AQ4" s="770"/>
      <c r="AR4" s="770"/>
      <c r="AS4" s="770"/>
      <c r="AT4" s="770"/>
      <c r="AU4" s="770"/>
      <c r="AV4" s="770"/>
      <c r="AW4" s="770"/>
      <c r="AX4" s="770"/>
      <c r="AY4" s="770"/>
      <c r="AZ4" s="770"/>
      <c r="BA4" s="770"/>
      <c r="BB4" s="770"/>
      <c r="BC4" s="770"/>
      <c r="BD4" s="770"/>
      <c r="BE4" s="770"/>
      <c r="BF4" s="770"/>
      <c r="BG4" s="770"/>
      <c r="BH4" s="770"/>
      <c r="BI4" s="770"/>
      <c r="BJ4" s="770"/>
      <c r="BK4" s="770"/>
    </row>
    <row r="5" spans="1:63" ht="15.75">
      <c r="A5" s="105"/>
      <c r="B5" s="103" t="s">
        <v>62</v>
      </c>
      <c r="C5" s="103" t="s">
        <v>131</v>
      </c>
      <c r="D5" s="201" t="s">
        <v>585</v>
      </c>
      <c r="E5" s="770"/>
      <c r="G5" s="770"/>
      <c r="H5" s="770"/>
      <c r="I5" s="770"/>
      <c r="J5" s="770"/>
      <c r="K5" s="770"/>
      <c r="L5" s="770"/>
      <c r="M5" s="770"/>
      <c r="N5" s="770"/>
      <c r="O5" s="770"/>
      <c r="P5" s="770"/>
      <c r="Q5" s="770"/>
      <c r="R5" s="770"/>
      <c r="S5" s="770"/>
      <c r="T5" s="770"/>
      <c r="U5" s="770"/>
      <c r="V5" s="770"/>
      <c r="W5" s="770"/>
      <c r="X5" s="770"/>
      <c r="Y5" s="770"/>
      <c r="Z5" s="770"/>
      <c r="AA5" s="770"/>
      <c r="AB5" s="770"/>
      <c r="AC5" s="770"/>
      <c r="AD5" s="770"/>
      <c r="AE5" s="770"/>
      <c r="AF5" s="770"/>
      <c r="AG5" s="770"/>
      <c r="AH5" s="770"/>
      <c r="AI5" s="770"/>
      <c r="AJ5" s="770"/>
      <c r="AK5" s="770"/>
      <c r="AL5" s="770"/>
      <c r="AM5" s="770"/>
      <c r="AN5" s="770"/>
      <c r="AO5" s="770"/>
      <c r="AP5" s="770"/>
      <c r="AQ5" s="770"/>
      <c r="AR5" s="770"/>
      <c r="AS5" s="770"/>
      <c r="AT5" s="770"/>
      <c r="AU5" s="770"/>
      <c r="AV5" s="770"/>
      <c r="AW5" s="770"/>
      <c r="AX5" s="770"/>
      <c r="AY5" s="770"/>
      <c r="AZ5" s="770"/>
      <c r="BA5" s="770"/>
      <c r="BB5" s="770"/>
      <c r="BC5" s="770"/>
      <c r="BD5" s="770"/>
      <c r="BE5" s="770"/>
      <c r="BF5" s="770"/>
      <c r="BG5" s="770"/>
      <c r="BH5" s="770"/>
      <c r="BI5" s="770"/>
      <c r="BJ5" s="770"/>
      <c r="BK5" s="770"/>
    </row>
    <row r="6" spans="1:63" ht="15.75">
      <c r="A6" s="149" t="s">
        <v>92</v>
      </c>
      <c r="B6" s="93">
        <f>'K&amp;M data'!D14</f>
        <v>7706.7</v>
      </c>
      <c r="C6" s="93">
        <v>0</v>
      </c>
      <c r="D6" s="241">
        <f t="shared" ref="D6:D21" si="0">C6+B6</f>
        <v>7706.7</v>
      </c>
      <c r="E6" s="770"/>
      <c r="G6" s="770"/>
      <c r="H6" s="770"/>
      <c r="I6" s="770"/>
      <c r="J6" s="770"/>
      <c r="K6" s="770"/>
      <c r="L6" s="770"/>
      <c r="M6" s="770"/>
      <c r="N6" s="770"/>
      <c r="O6" s="770"/>
      <c r="P6" s="770"/>
      <c r="Q6" s="770"/>
      <c r="R6" s="770"/>
      <c r="S6" s="770"/>
      <c r="T6" s="770"/>
      <c r="U6" s="770"/>
      <c r="V6" s="770"/>
      <c r="W6" s="770"/>
      <c r="X6" s="770"/>
      <c r="Y6" s="770"/>
      <c r="Z6" s="770"/>
      <c r="AA6" s="770"/>
      <c r="AB6" s="770"/>
      <c r="AC6" s="770"/>
      <c r="AD6" s="770"/>
      <c r="AE6" s="770"/>
      <c r="AF6" s="770"/>
      <c r="AG6" s="770"/>
      <c r="AH6" s="770"/>
      <c r="AI6" s="770"/>
      <c r="AJ6" s="770"/>
      <c r="AK6" s="770"/>
      <c r="AL6" s="770"/>
      <c r="AM6" s="770"/>
      <c r="AN6" s="770"/>
      <c r="AO6" s="770"/>
      <c r="AP6" s="770"/>
      <c r="AQ6" s="770"/>
      <c r="AR6" s="770"/>
      <c r="AS6" s="770"/>
      <c r="AT6" s="770"/>
      <c r="AU6" s="770"/>
      <c r="AV6" s="770"/>
      <c r="AW6" s="770"/>
      <c r="AX6" s="770"/>
      <c r="AY6" s="770"/>
      <c r="AZ6" s="770"/>
      <c r="BA6" s="770"/>
      <c r="BB6" s="770"/>
      <c r="BC6" s="770"/>
      <c r="BD6" s="770"/>
      <c r="BE6" s="770"/>
      <c r="BF6" s="770"/>
      <c r="BG6" s="770"/>
      <c r="BH6" s="770"/>
      <c r="BI6" s="770"/>
      <c r="BJ6" s="770"/>
      <c r="BK6" s="770"/>
    </row>
    <row r="7" spans="1:63" ht="15.75">
      <c r="A7" s="149" t="s">
        <v>93</v>
      </c>
      <c r="B7" s="93">
        <f>'K&amp;M data'!D15</f>
        <v>16081.31</v>
      </c>
      <c r="C7" s="93">
        <v>0</v>
      </c>
      <c r="D7" s="241">
        <f t="shared" si="0"/>
        <v>16081.31</v>
      </c>
      <c r="E7" s="770"/>
      <c r="G7" s="770"/>
      <c r="H7" s="770"/>
      <c r="I7" s="770"/>
      <c r="J7" s="770"/>
      <c r="K7" s="770"/>
      <c r="L7" s="770"/>
      <c r="M7" s="770"/>
      <c r="N7" s="770"/>
      <c r="O7" s="770"/>
      <c r="P7" s="770"/>
      <c r="Q7" s="770"/>
      <c r="R7" s="770"/>
      <c r="S7" s="770"/>
      <c r="T7" s="770"/>
      <c r="U7" s="770"/>
      <c r="V7" s="770"/>
      <c r="W7" s="770"/>
      <c r="X7" s="770"/>
      <c r="Y7" s="770"/>
      <c r="Z7" s="770"/>
      <c r="AA7" s="770"/>
      <c r="AB7" s="770"/>
      <c r="AC7" s="770"/>
      <c r="AD7" s="770"/>
      <c r="AE7" s="770"/>
      <c r="AF7" s="770"/>
      <c r="AG7" s="770"/>
      <c r="AH7" s="770"/>
      <c r="AI7" s="770"/>
      <c r="AJ7" s="770"/>
      <c r="AK7" s="770"/>
      <c r="AL7" s="770"/>
      <c r="AM7" s="770"/>
      <c r="AN7" s="770"/>
      <c r="AO7" s="770"/>
      <c r="AP7" s="770"/>
      <c r="AQ7" s="770"/>
      <c r="AR7" s="770"/>
      <c r="AS7" s="770"/>
      <c r="AT7" s="770"/>
      <c r="AU7" s="770"/>
      <c r="AV7" s="770"/>
      <c r="AW7" s="770"/>
      <c r="AX7" s="770"/>
      <c r="AY7" s="770"/>
      <c r="AZ7" s="770"/>
      <c r="BA7" s="770"/>
      <c r="BB7" s="770"/>
      <c r="BC7" s="770"/>
      <c r="BD7" s="770"/>
      <c r="BE7" s="770"/>
      <c r="BF7" s="770"/>
      <c r="BG7" s="770"/>
      <c r="BH7" s="770"/>
      <c r="BI7" s="770"/>
      <c r="BJ7" s="770"/>
      <c r="BK7" s="770"/>
    </row>
    <row r="8" spans="1:63" ht="15.75">
      <c r="A8" s="149" t="s">
        <v>94</v>
      </c>
      <c r="B8" s="93">
        <f>'K&amp;M data'!D16</f>
        <v>44322.09</v>
      </c>
      <c r="C8" s="93">
        <v>0</v>
      </c>
      <c r="D8" s="241">
        <f t="shared" si="0"/>
        <v>44322.09</v>
      </c>
      <c r="E8" s="770"/>
      <c r="G8" s="770"/>
      <c r="H8" s="770"/>
      <c r="I8" s="770"/>
      <c r="J8" s="770"/>
      <c r="K8" s="770"/>
      <c r="L8" s="770"/>
      <c r="M8" s="770"/>
      <c r="N8" s="770"/>
      <c r="O8" s="770"/>
      <c r="P8" s="770"/>
      <c r="Q8" s="770"/>
      <c r="R8" s="770"/>
      <c r="S8" s="770"/>
      <c r="T8" s="770"/>
      <c r="U8" s="770"/>
      <c r="V8" s="770"/>
      <c r="W8" s="770"/>
      <c r="X8" s="770"/>
      <c r="Y8" s="770"/>
      <c r="Z8" s="770"/>
      <c r="AA8" s="770"/>
      <c r="AB8" s="770"/>
      <c r="AC8" s="770"/>
      <c r="AD8" s="770"/>
      <c r="AE8" s="770"/>
      <c r="AF8" s="770"/>
      <c r="AG8" s="770"/>
      <c r="AH8" s="770"/>
      <c r="AI8" s="770"/>
      <c r="AJ8" s="770"/>
      <c r="AK8" s="770"/>
      <c r="AL8" s="770"/>
      <c r="AM8" s="770"/>
      <c r="AN8" s="770"/>
      <c r="AO8" s="770"/>
      <c r="AP8" s="770"/>
      <c r="AQ8" s="770"/>
      <c r="AR8" s="770"/>
      <c r="AS8" s="770"/>
      <c r="AT8" s="770"/>
      <c r="AU8" s="770"/>
      <c r="AV8" s="770"/>
      <c r="AW8" s="770"/>
      <c r="AX8" s="770"/>
      <c r="AY8" s="770"/>
      <c r="AZ8" s="770"/>
      <c r="BA8" s="770"/>
      <c r="BB8" s="770"/>
      <c r="BC8" s="770"/>
      <c r="BD8" s="770"/>
      <c r="BE8" s="770"/>
      <c r="BF8" s="770"/>
      <c r="BG8" s="770"/>
      <c r="BH8" s="770"/>
      <c r="BI8" s="770"/>
      <c r="BJ8" s="770"/>
      <c r="BK8" s="770"/>
    </row>
    <row r="9" spans="1:63" ht="15.75">
      <c r="A9" s="149" t="s">
        <v>95</v>
      </c>
      <c r="B9" s="93">
        <f>'K&amp;M data'!D17</f>
        <v>8631.5</v>
      </c>
      <c r="C9" s="93">
        <v>0</v>
      </c>
      <c r="D9" s="241">
        <f t="shared" si="0"/>
        <v>8631.5</v>
      </c>
      <c r="E9" s="770"/>
      <c r="G9" s="770"/>
      <c r="H9" s="770"/>
      <c r="I9" s="770"/>
      <c r="J9" s="770"/>
      <c r="K9" s="770"/>
      <c r="L9" s="770"/>
      <c r="M9" s="770"/>
      <c r="N9" s="770"/>
      <c r="O9" s="770"/>
      <c r="P9" s="770"/>
      <c r="Q9" s="770"/>
      <c r="R9" s="770"/>
      <c r="S9" s="770"/>
      <c r="T9" s="770"/>
      <c r="U9" s="770"/>
      <c r="V9" s="770"/>
      <c r="W9" s="770"/>
      <c r="X9" s="770"/>
      <c r="Y9" s="770"/>
      <c r="Z9" s="770"/>
      <c r="AA9" s="770"/>
      <c r="AB9" s="770"/>
      <c r="AC9" s="770"/>
      <c r="AD9" s="770"/>
      <c r="AE9" s="770"/>
      <c r="AF9" s="770"/>
      <c r="AG9" s="770"/>
      <c r="AH9" s="770"/>
      <c r="AI9" s="770"/>
      <c r="AJ9" s="770"/>
      <c r="AK9" s="770"/>
      <c r="AL9" s="770"/>
      <c r="AM9" s="770"/>
      <c r="AN9" s="770"/>
      <c r="AO9" s="770"/>
      <c r="AP9" s="770"/>
      <c r="AQ9" s="770"/>
      <c r="AR9" s="770"/>
      <c r="AS9" s="770"/>
      <c r="AT9" s="770"/>
      <c r="AU9" s="770"/>
      <c r="AV9" s="770"/>
      <c r="AW9" s="770"/>
      <c r="AX9" s="770"/>
      <c r="AY9" s="770"/>
      <c r="AZ9" s="770"/>
      <c r="BA9" s="770"/>
      <c r="BB9" s="770"/>
      <c r="BC9" s="770"/>
      <c r="BD9" s="770"/>
      <c r="BE9" s="770"/>
      <c r="BF9" s="770"/>
      <c r="BG9" s="770"/>
      <c r="BH9" s="770"/>
      <c r="BI9" s="770"/>
      <c r="BJ9" s="770"/>
      <c r="BK9" s="770"/>
    </row>
    <row r="10" spans="1:63" ht="15.75">
      <c r="A10" s="149" t="s">
        <v>96</v>
      </c>
      <c r="B10" s="93">
        <f>'K&amp;M data'!D18</f>
        <v>8682.8799999999992</v>
      </c>
      <c r="C10" s="93">
        <v>0</v>
      </c>
      <c r="D10" s="241">
        <f t="shared" si="0"/>
        <v>8682.8799999999992</v>
      </c>
      <c r="E10" s="770"/>
      <c r="G10" s="770"/>
      <c r="H10" s="770"/>
      <c r="I10" s="770"/>
      <c r="J10" s="770"/>
      <c r="K10" s="770"/>
      <c r="L10" s="770"/>
      <c r="M10" s="770"/>
      <c r="N10" s="770"/>
      <c r="O10" s="770"/>
      <c r="P10" s="770"/>
      <c r="Q10" s="770"/>
      <c r="R10" s="770"/>
      <c r="S10" s="770"/>
      <c r="T10" s="770"/>
      <c r="U10" s="770"/>
      <c r="V10" s="770"/>
      <c r="W10" s="770"/>
      <c r="X10" s="770"/>
      <c r="Y10" s="770"/>
      <c r="Z10" s="770"/>
      <c r="AA10" s="770"/>
      <c r="AB10" s="770"/>
      <c r="AC10" s="770"/>
      <c r="AD10" s="770"/>
      <c r="AE10" s="770"/>
      <c r="AF10" s="770"/>
      <c r="AG10" s="770"/>
      <c r="AH10" s="770"/>
      <c r="AI10" s="770"/>
      <c r="AJ10" s="770"/>
      <c r="AK10" s="770"/>
      <c r="AL10" s="770"/>
      <c r="AM10" s="770"/>
      <c r="AN10" s="770"/>
      <c r="AO10" s="770"/>
      <c r="AP10" s="770"/>
      <c r="AQ10" s="770"/>
      <c r="AR10" s="770"/>
      <c r="AS10" s="770"/>
      <c r="AT10" s="770"/>
      <c r="AU10" s="770"/>
      <c r="AV10" s="770"/>
      <c r="AW10" s="770"/>
      <c r="AX10" s="770"/>
      <c r="AY10" s="770"/>
      <c r="AZ10" s="770"/>
      <c r="BA10" s="770"/>
      <c r="BB10" s="770"/>
      <c r="BC10" s="770"/>
      <c r="BD10" s="770"/>
      <c r="BE10" s="770"/>
      <c r="BF10" s="770"/>
      <c r="BG10" s="770"/>
      <c r="BH10" s="770"/>
      <c r="BI10" s="770"/>
      <c r="BJ10" s="770"/>
      <c r="BK10" s="770"/>
    </row>
    <row r="11" spans="1:63" ht="15.75">
      <c r="A11" s="149" t="s">
        <v>97</v>
      </c>
      <c r="B11" s="93">
        <f>'K&amp;M data'!D19</f>
        <v>27881.13</v>
      </c>
      <c r="C11" s="93">
        <v>0</v>
      </c>
      <c r="D11" s="241">
        <f t="shared" si="0"/>
        <v>27881.13</v>
      </c>
      <c r="E11" s="770"/>
      <c r="G11" s="770"/>
      <c r="H11" s="770"/>
      <c r="I11" s="770"/>
      <c r="J11" s="770"/>
      <c r="K11" s="770"/>
      <c r="L11" s="770"/>
      <c r="M11" s="770"/>
      <c r="N11" s="770"/>
      <c r="O11" s="770"/>
      <c r="P11" s="770"/>
      <c r="Q11" s="770"/>
      <c r="R11" s="770"/>
      <c r="S11" s="770"/>
      <c r="T11" s="770"/>
      <c r="U11" s="770"/>
      <c r="V11" s="770"/>
      <c r="W11" s="770"/>
      <c r="X11" s="770"/>
      <c r="Y11" s="770"/>
      <c r="Z11" s="770"/>
      <c r="AA11" s="770"/>
      <c r="AB11" s="770"/>
      <c r="AC11" s="770"/>
      <c r="AD11" s="770"/>
      <c r="AE11" s="770"/>
      <c r="AF11" s="770"/>
      <c r="AG11" s="770"/>
      <c r="AH11" s="770"/>
      <c r="AI11" s="770"/>
      <c r="AJ11" s="770"/>
      <c r="AK11" s="770"/>
      <c r="AL11" s="770"/>
      <c r="AM11" s="770"/>
      <c r="AN11" s="770"/>
      <c r="AO11" s="770"/>
      <c r="AP11" s="770"/>
      <c r="AQ11" s="770"/>
      <c r="AR11" s="770"/>
      <c r="AS11" s="770"/>
      <c r="AT11" s="770"/>
      <c r="AU11" s="770"/>
      <c r="AV11" s="770"/>
      <c r="AW11" s="770"/>
      <c r="AX11" s="770"/>
      <c r="AY11" s="770"/>
      <c r="AZ11" s="770"/>
      <c r="BA11" s="770"/>
      <c r="BB11" s="770"/>
      <c r="BC11" s="770"/>
      <c r="BD11" s="770"/>
      <c r="BE11" s="770"/>
      <c r="BF11" s="770"/>
      <c r="BG11" s="770"/>
      <c r="BH11" s="770"/>
      <c r="BI11" s="770"/>
      <c r="BJ11" s="770"/>
      <c r="BK11" s="770"/>
    </row>
    <row r="12" spans="1:63" ht="15.75">
      <c r="A12" s="149" t="s">
        <v>98</v>
      </c>
      <c r="B12" s="93">
        <f>'K&amp;M data'!D20</f>
        <v>96076.86</v>
      </c>
      <c r="C12" s="93">
        <v>0</v>
      </c>
      <c r="D12" s="241">
        <f t="shared" si="0"/>
        <v>96076.86</v>
      </c>
      <c r="E12" s="770"/>
      <c r="G12" s="770"/>
      <c r="H12" s="770"/>
      <c r="I12" s="770"/>
      <c r="J12" s="770"/>
      <c r="K12" s="770"/>
      <c r="L12" s="770"/>
      <c r="M12" s="770"/>
      <c r="N12" s="770"/>
      <c r="O12" s="770"/>
      <c r="P12" s="770"/>
      <c r="Q12" s="770"/>
      <c r="R12" s="770"/>
      <c r="S12" s="770"/>
      <c r="T12" s="770"/>
      <c r="U12" s="770"/>
      <c r="V12" s="770"/>
      <c r="W12" s="770"/>
      <c r="X12" s="770"/>
      <c r="Y12" s="770"/>
      <c r="Z12" s="770"/>
      <c r="AA12" s="770"/>
      <c r="AB12" s="770"/>
      <c r="AC12" s="770"/>
      <c r="AD12" s="770"/>
      <c r="AE12" s="770"/>
      <c r="AF12" s="770"/>
      <c r="AG12" s="770"/>
      <c r="AH12" s="770"/>
      <c r="AI12" s="770"/>
      <c r="AJ12" s="770"/>
      <c r="AK12" s="770"/>
      <c r="AL12" s="770"/>
      <c r="AM12" s="770"/>
      <c r="AN12" s="770"/>
      <c r="AO12" s="770"/>
      <c r="AP12" s="770"/>
      <c r="AQ12" s="770"/>
      <c r="AR12" s="770"/>
      <c r="AS12" s="770"/>
      <c r="AT12" s="770"/>
      <c r="AU12" s="770"/>
      <c r="AV12" s="770"/>
      <c r="AW12" s="770"/>
      <c r="AX12" s="770"/>
      <c r="AY12" s="770"/>
      <c r="AZ12" s="770"/>
      <c r="BA12" s="770"/>
      <c r="BB12" s="770"/>
      <c r="BC12" s="770"/>
      <c r="BD12" s="770"/>
      <c r="BE12" s="770"/>
      <c r="BF12" s="770"/>
      <c r="BG12" s="770"/>
      <c r="BH12" s="770"/>
      <c r="BI12" s="770"/>
      <c r="BJ12" s="770"/>
      <c r="BK12" s="770"/>
    </row>
    <row r="13" spans="1:63" ht="15.75">
      <c r="A13" s="149" t="s">
        <v>99</v>
      </c>
      <c r="B13" s="93">
        <f>'K&amp;M data'!D21</f>
        <v>5240.5600000000004</v>
      </c>
      <c r="C13" s="93">
        <v>0</v>
      </c>
      <c r="D13" s="241">
        <f t="shared" si="0"/>
        <v>5240.5600000000004</v>
      </c>
      <c r="E13" s="770"/>
      <c r="G13" s="770"/>
      <c r="H13" s="770"/>
      <c r="I13" s="770"/>
      <c r="J13" s="770"/>
      <c r="K13" s="770"/>
      <c r="L13" s="770"/>
      <c r="M13" s="770"/>
      <c r="N13" s="770"/>
      <c r="O13" s="770"/>
      <c r="P13" s="770"/>
      <c r="Q13" s="770"/>
      <c r="R13" s="770"/>
      <c r="S13" s="770"/>
      <c r="T13" s="770"/>
      <c r="U13" s="770"/>
      <c r="V13" s="770"/>
      <c r="W13" s="770"/>
      <c r="X13" s="770"/>
      <c r="Y13" s="770"/>
      <c r="Z13" s="770"/>
      <c r="AA13" s="770"/>
      <c r="AB13" s="770"/>
      <c r="AC13" s="770"/>
      <c r="AD13" s="770"/>
      <c r="AE13" s="770"/>
      <c r="AF13" s="770"/>
      <c r="AG13" s="770"/>
      <c r="AH13" s="770"/>
      <c r="AI13" s="770"/>
      <c r="AJ13" s="770"/>
      <c r="AK13" s="770"/>
      <c r="AL13" s="770"/>
      <c r="AM13" s="770"/>
      <c r="AN13" s="770"/>
      <c r="AO13" s="770"/>
      <c r="AP13" s="770"/>
      <c r="AQ13" s="770"/>
      <c r="AR13" s="770"/>
      <c r="AS13" s="770"/>
      <c r="AT13" s="770"/>
      <c r="AU13" s="770"/>
      <c r="AV13" s="770"/>
      <c r="AW13" s="770"/>
      <c r="AX13" s="770"/>
      <c r="AY13" s="770"/>
      <c r="AZ13" s="770"/>
      <c r="BA13" s="770"/>
      <c r="BB13" s="770"/>
      <c r="BC13" s="770"/>
      <c r="BD13" s="770"/>
      <c r="BE13" s="770"/>
      <c r="BF13" s="770"/>
      <c r="BG13" s="770"/>
      <c r="BH13" s="770"/>
      <c r="BI13" s="770"/>
      <c r="BJ13" s="770"/>
      <c r="BK13" s="770"/>
    </row>
    <row r="14" spans="1:63" ht="15.75">
      <c r="A14" s="149" t="s">
        <v>100</v>
      </c>
      <c r="B14" s="93">
        <f>'K&amp;M data'!D22</f>
        <v>3819.1</v>
      </c>
      <c r="C14" s="93">
        <v>0</v>
      </c>
      <c r="D14" s="241">
        <f t="shared" si="0"/>
        <v>3819.1</v>
      </c>
      <c r="E14" s="770"/>
      <c r="G14" s="770"/>
      <c r="H14" s="770"/>
      <c r="I14" s="770"/>
      <c r="J14" s="770"/>
      <c r="K14" s="770"/>
      <c r="L14" s="770"/>
      <c r="M14" s="770"/>
      <c r="N14" s="770"/>
      <c r="O14" s="770"/>
      <c r="P14" s="770"/>
      <c r="Q14" s="770"/>
      <c r="R14" s="770"/>
      <c r="S14" s="770"/>
      <c r="T14" s="770"/>
      <c r="U14" s="770"/>
      <c r="V14" s="770"/>
      <c r="W14" s="770"/>
      <c r="X14" s="770"/>
      <c r="Y14" s="770"/>
      <c r="Z14" s="770"/>
      <c r="AA14" s="770"/>
      <c r="AB14" s="770"/>
      <c r="AC14" s="770"/>
      <c r="AD14" s="770"/>
      <c r="AE14" s="770"/>
      <c r="AF14" s="770"/>
      <c r="AG14" s="770"/>
      <c r="AH14" s="770"/>
      <c r="AI14" s="770"/>
      <c r="AJ14" s="770"/>
      <c r="AK14" s="770"/>
      <c r="AL14" s="770"/>
      <c r="AM14" s="770"/>
      <c r="AN14" s="770"/>
      <c r="AO14" s="770"/>
      <c r="AP14" s="770"/>
      <c r="AQ14" s="770"/>
      <c r="AR14" s="770"/>
      <c r="AS14" s="770"/>
      <c r="AT14" s="770"/>
      <c r="AU14" s="770"/>
      <c r="AV14" s="770"/>
      <c r="AW14" s="770"/>
      <c r="AX14" s="770"/>
      <c r="AY14" s="770"/>
      <c r="AZ14" s="770"/>
      <c r="BA14" s="770"/>
      <c r="BB14" s="770"/>
      <c r="BC14" s="770"/>
      <c r="BD14" s="770"/>
      <c r="BE14" s="770"/>
      <c r="BF14" s="770"/>
      <c r="BG14" s="770"/>
      <c r="BH14" s="770"/>
      <c r="BI14" s="770"/>
      <c r="BJ14" s="770"/>
      <c r="BK14" s="770"/>
    </row>
    <row r="15" spans="1:63" ht="15.75">
      <c r="A15" s="149" t="s">
        <v>101</v>
      </c>
      <c r="B15" s="93">
        <f>'K&amp;M data'!D23</f>
        <v>36495.51</v>
      </c>
      <c r="C15" s="93">
        <v>0</v>
      </c>
      <c r="D15" s="241">
        <f t="shared" si="0"/>
        <v>36495.51</v>
      </c>
      <c r="E15" s="770"/>
      <c r="G15" s="770"/>
      <c r="H15" s="770"/>
      <c r="I15" s="770"/>
      <c r="J15" s="770"/>
      <c r="K15" s="770"/>
      <c r="L15" s="770"/>
      <c r="M15" s="770"/>
      <c r="N15" s="770"/>
      <c r="O15" s="770"/>
      <c r="P15" s="770"/>
      <c r="Q15" s="770"/>
      <c r="R15" s="770"/>
      <c r="S15" s="770"/>
      <c r="T15" s="770"/>
      <c r="U15" s="770"/>
      <c r="V15" s="770"/>
      <c r="W15" s="770"/>
      <c r="X15" s="770"/>
      <c r="Y15" s="770"/>
      <c r="Z15" s="770"/>
      <c r="AA15" s="770"/>
      <c r="AB15" s="770"/>
      <c r="AC15" s="770"/>
      <c r="AD15" s="770"/>
      <c r="AE15" s="770"/>
      <c r="AF15" s="770"/>
      <c r="AG15" s="770"/>
      <c r="AH15" s="770"/>
      <c r="AI15" s="770"/>
      <c r="AJ15" s="770"/>
      <c r="AK15" s="770"/>
      <c r="AL15" s="770"/>
      <c r="AM15" s="770"/>
      <c r="AN15" s="770"/>
      <c r="AO15" s="770"/>
      <c r="AP15" s="770"/>
      <c r="AQ15" s="770"/>
      <c r="AR15" s="770"/>
      <c r="AS15" s="770"/>
      <c r="AT15" s="770"/>
      <c r="AU15" s="770"/>
      <c r="AV15" s="770"/>
      <c r="AW15" s="770"/>
      <c r="AX15" s="770"/>
      <c r="AY15" s="770"/>
      <c r="AZ15" s="770"/>
      <c r="BA15" s="770"/>
      <c r="BB15" s="770"/>
      <c r="BC15" s="770"/>
      <c r="BD15" s="770"/>
      <c r="BE15" s="770"/>
      <c r="BF15" s="770"/>
      <c r="BG15" s="770"/>
      <c r="BH15" s="770"/>
      <c r="BI15" s="770"/>
      <c r="BJ15" s="770"/>
      <c r="BK15" s="770"/>
    </row>
    <row r="16" spans="1:63" ht="15.75">
      <c r="A16" s="149" t="s">
        <v>102</v>
      </c>
      <c r="B16" s="93">
        <f>'K&amp;M data'!D24</f>
        <v>6165.36</v>
      </c>
      <c r="C16" s="93">
        <v>0</v>
      </c>
      <c r="D16" s="241">
        <f t="shared" si="0"/>
        <v>6165.36</v>
      </c>
      <c r="E16" s="770"/>
      <c r="G16" s="770"/>
      <c r="H16" s="770"/>
      <c r="I16" s="770"/>
      <c r="J16" s="770"/>
      <c r="K16" s="770"/>
      <c r="L16" s="770"/>
      <c r="M16" s="770"/>
      <c r="N16" s="770"/>
      <c r="O16" s="770"/>
      <c r="P16" s="770"/>
      <c r="Q16" s="770"/>
      <c r="R16" s="770"/>
      <c r="S16" s="770"/>
      <c r="T16" s="770"/>
      <c r="U16" s="770"/>
      <c r="V16" s="770"/>
      <c r="W16" s="770"/>
      <c r="X16" s="770"/>
      <c r="Y16" s="770"/>
      <c r="Z16" s="770"/>
      <c r="AA16" s="770"/>
      <c r="AB16" s="770"/>
      <c r="AC16" s="770"/>
      <c r="AD16" s="770"/>
      <c r="AE16" s="770"/>
      <c r="AF16" s="770"/>
      <c r="AG16" s="770"/>
      <c r="AH16" s="770"/>
      <c r="AI16" s="770"/>
      <c r="AJ16" s="770"/>
      <c r="AK16" s="770"/>
      <c r="AL16" s="770"/>
      <c r="AM16" s="770"/>
      <c r="AN16" s="770"/>
      <c r="AO16" s="770"/>
      <c r="AP16" s="770"/>
      <c r="AQ16" s="770"/>
      <c r="AR16" s="770"/>
      <c r="AS16" s="770"/>
      <c r="AT16" s="770"/>
      <c r="AU16" s="770"/>
      <c r="AV16" s="770"/>
      <c r="AW16" s="770"/>
      <c r="AX16" s="770"/>
      <c r="AY16" s="770"/>
      <c r="AZ16" s="770"/>
      <c r="BA16" s="770"/>
      <c r="BB16" s="770"/>
      <c r="BC16" s="770"/>
      <c r="BD16" s="770"/>
      <c r="BE16" s="770"/>
      <c r="BF16" s="770"/>
      <c r="BG16" s="770"/>
      <c r="BH16" s="770"/>
      <c r="BI16" s="770"/>
      <c r="BJ16" s="770"/>
      <c r="BK16" s="770"/>
    </row>
    <row r="17" spans="1:63" ht="15.75">
      <c r="A17" s="149" t="s">
        <v>103</v>
      </c>
      <c r="B17" s="93">
        <f>'K&amp;M data'!D25</f>
        <v>30706.92</v>
      </c>
      <c r="C17" s="93">
        <v>0</v>
      </c>
      <c r="D17" s="241">
        <f t="shared" si="0"/>
        <v>30706.92</v>
      </c>
      <c r="E17" s="770"/>
      <c r="G17" s="770"/>
      <c r="H17" s="770"/>
      <c r="I17" s="770"/>
      <c r="J17" s="770"/>
      <c r="K17" s="770"/>
      <c r="L17" s="770"/>
      <c r="M17" s="770"/>
      <c r="N17" s="770"/>
      <c r="O17" s="770"/>
      <c r="P17" s="770"/>
      <c r="Q17" s="770"/>
      <c r="R17" s="770"/>
      <c r="S17" s="770"/>
      <c r="T17" s="770"/>
      <c r="U17" s="770"/>
      <c r="V17" s="770"/>
      <c r="W17" s="770"/>
      <c r="X17" s="770"/>
      <c r="Y17" s="770"/>
      <c r="Z17" s="770"/>
      <c r="AA17" s="770"/>
      <c r="AB17" s="770"/>
      <c r="AC17" s="770"/>
      <c r="AD17" s="770"/>
      <c r="AE17" s="770"/>
      <c r="AF17" s="770"/>
      <c r="AG17" s="770"/>
      <c r="AH17" s="770"/>
      <c r="AI17" s="770"/>
      <c r="AJ17" s="770"/>
      <c r="AK17" s="770"/>
      <c r="AL17" s="770"/>
      <c r="AM17" s="770"/>
      <c r="AN17" s="770"/>
      <c r="AO17" s="770"/>
      <c r="AP17" s="770"/>
      <c r="AQ17" s="770"/>
      <c r="AR17" s="770"/>
      <c r="AS17" s="770"/>
      <c r="AT17" s="770"/>
      <c r="AU17" s="770"/>
      <c r="AV17" s="770"/>
      <c r="AW17" s="770"/>
      <c r="AX17" s="770"/>
      <c r="AY17" s="770"/>
      <c r="AZ17" s="770"/>
      <c r="BA17" s="770"/>
      <c r="BB17" s="770"/>
      <c r="BC17" s="770"/>
      <c r="BD17" s="770"/>
      <c r="BE17" s="770"/>
      <c r="BF17" s="770"/>
      <c r="BG17" s="770"/>
      <c r="BH17" s="770"/>
      <c r="BI17" s="770"/>
      <c r="BJ17" s="770"/>
      <c r="BK17" s="770"/>
    </row>
    <row r="18" spans="1:63" ht="15.75">
      <c r="A18" s="149" t="s">
        <v>104</v>
      </c>
      <c r="B18" s="93">
        <f>'K&amp;M data'!D26</f>
        <v>1900.99</v>
      </c>
      <c r="C18" s="93">
        <v>0</v>
      </c>
      <c r="D18" s="241">
        <f t="shared" si="0"/>
        <v>1900.99</v>
      </c>
      <c r="E18" s="770"/>
      <c r="G18" s="770"/>
      <c r="H18" s="770"/>
      <c r="I18" s="770"/>
      <c r="J18" s="770"/>
      <c r="K18" s="770"/>
      <c r="L18" s="770"/>
      <c r="M18" s="770"/>
      <c r="N18" s="770"/>
      <c r="O18" s="770"/>
      <c r="P18" s="770"/>
      <c r="Q18" s="770"/>
      <c r="R18" s="770"/>
      <c r="S18" s="770"/>
      <c r="T18" s="770"/>
      <c r="U18" s="770"/>
      <c r="V18" s="770"/>
      <c r="W18" s="770"/>
      <c r="X18" s="770"/>
      <c r="Y18" s="770"/>
      <c r="Z18" s="770"/>
      <c r="AA18" s="770"/>
      <c r="AB18" s="770"/>
      <c r="AC18" s="770"/>
      <c r="AD18" s="770"/>
      <c r="AE18" s="770"/>
      <c r="AF18" s="770"/>
      <c r="AG18" s="770"/>
      <c r="AH18" s="770"/>
      <c r="AI18" s="770"/>
      <c r="AJ18" s="770"/>
      <c r="AK18" s="770"/>
      <c r="AL18" s="770"/>
      <c r="AM18" s="770"/>
      <c r="AN18" s="770"/>
      <c r="AO18" s="770"/>
      <c r="AP18" s="770"/>
      <c r="AQ18" s="770"/>
      <c r="AR18" s="770"/>
      <c r="AS18" s="770"/>
      <c r="AT18" s="770"/>
      <c r="AU18" s="770"/>
      <c r="AV18" s="770"/>
      <c r="AW18" s="770"/>
      <c r="AX18" s="770"/>
      <c r="AY18" s="770"/>
      <c r="AZ18" s="770"/>
      <c r="BA18" s="770"/>
      <c r="BB18" s="770"/>
      <c r="BC18" s="770"/>
      <c r="BD18" s="770"/>
      <c r="BE18" s="770"/>
      <c r="BF18" s="770"/>
      <c r="BG18" s="770"/>
      <c r="BH18" s="770"/>
      <c r="BI18" s="770"/>
      <c r="BJ18" s="770"/>
      <c r="BK18" s="770"/>
    </row>
    <row r="19" spans="1:63" ht="15.75">
      <c r="A19" s="149" t="s">
        <v>105</v>
      </c>
      <c r="B19" s="93">
        <f>'K&amp;M data'!D27</f>
        <v>17143.13</v>
      </c>
      <c r="C19" s="93">
        <v>0</v>
      </c>
      <c r="D19" s="241">
        <f t="shared" si="0"/>
        <v>17143.13</v>
      </c>
      <c r="E19" s="770"/>
      <c r="G19" s="770"/>
      <c r="H19" s="770"/>
      <c r="I19" s="770"/>
      <c r="J19" s="770"/>
      <c r="K19" s="770"/>
      <c r="L19" s="770"/>
      <c r="M19" s="770"/>
      <c r="N19" s="770"/>
      <c r="O19" s="770"/>
      <c r="P19" s="770"/>
      <c r="Q19" s="770"/>
      <c r="R19" s="770"/>
      <c r="S19" s="770"/>
      <c r="T19" s="770"/>
      <c r="U19" s="770"/>
      <c r="V19" s="770"/>
      <c r="W19" s="770"/>
      <c r="X19" s="770"/>
      <c r="Y19" s="770"/>
      <c r="Z19" s="770"/>
      <c r="AA19" s="770"/>
      <c r="AB19" s="770"/>
      <c r="AC19" s="770"/>
      <c r="AD19" s="770"/>
      <c r="AE19" s="770"/>
      <c r="AF19" s="770"/>
      <c r="AG19" s="770"/>
      <c r="AH19" s="770"/>
      <c r="AI19" s="770"/>
      <c r="AJ19" s="770"/>
      <c r="AK19" s="770"/>
      <c r="AL19" s="770"/>
      <c r="AM19" s="770"/>
      <c r="AN19" s="770"/>
      <c r="AO19" s="770"/>
      <c r="AP19" s="770"/>
      <c r="AQ19" s="770"/>
      <c r="AR19" s="770"/>
      <c r="AS19" s="770"/>
      <c r="AT19" s="770"/>
      <c r="AU19" s="770"/>
      <c r="AV19" s="770"/>
      <c r="AW19" s="770"/>
      <c r="AX19" s="770"/>
      <c r="AY19" s="770"/>
      <c r="AZ19" s="770"/>
      <c r="BA19" s="770"/>
      <c r="BB19" s="770"/>
      <c r="BC19" s="770"/>
      <c r="BD19" s="770"/>
      <c r="BE19" s="770"/>
      <c r="BF19" s="770"/>
      <c r="BG19" s="770"/>
      <c r="BH19" s="770"/>
      <c r="BI19" s="770"/>
      <c r="BJ19" s="770"/>
      <c r="BK19" s="770"/>
    </row>
    <row r="20" spans="1:63" ht="15.75">
      <c r="A20" s="149" t="s">
        <v>106</v>
      </c>
      <c r="B20" s="93">
        <f>'K&amp;M data'!D28</f>
        <v>7723.83</v>
      </c>
      <c r="C20" s="93">
        <v>0</v>
      </c>
      <c r="D20" s="241">
        <f t="shared" si="0"/>
        <v>7723.83</v>
      </c>
      <c r="E20" s="770"/>
      <c r="G20" s="770"/>
      <c r="H20" s="770"/>
      <c r="I20" s="770"/>
      <c r="J20" s="770"/>
      <c r="K20" s="770"/>
      <c r="L20" s="770"/>
      <c r="M20" s="770"/>
      <c r="N20" s="770"/>
      <c r="O20" s="770"/>
      <c r="P20" s="770"/>
      <c r="Q20" s="770"/>
      <c r="R20" s="770"/>
      <c r="S20" s="770"/>
      <c r="T20" s="770"/>
      <c r="U20" s="770"/>
      <c r="V20" s="770"/>
      <c r="W20" s="770"/>
      <c r="X20" s="770"/>
      <c r="Y20" s="770"/>
      <c r="Z20" s="770"/>
      <c r="AA20" s="770"/>
      <c r="AB20" s="770"/>
      <c r="AC20" s="770"/>
      <c r="AD20" s="770"/>
      <c r="AE20" s="770"/>
      <c r="AF20" s="770"/>
      <c r="AG20" s="770"/>
      <c r="AH20" s="770"/>
      <c r="AI20" s="770"/>
      <c r="AJ20" s="770"/>
      <c r="AK20" s="770"/>
      <c r="AL20" s="770"/>
      <c r="AM20" s="770"/>
      <c r="AN20" s="770"/>
      <c r="AO20" s="770"/>
      <c r="AP20" s="770"/>
      <c r="AQ20" s="770"/>
      <c r="AR20" s="770"/>
      <c r="AS20" s="770"/>
      <c r="AT20" s="770"/>
      <c r="AU20" s="770"/>
      <c r="AV20" s="770"/>
      <c r="AW20" s="770"/>
      <c r="AX20" s="770"/>
      <c r="AY20" s="770"/>
      <c r="AZ20" s="770"/>
      <c r="BA20" s="770"/>
      <c r="BB20" s="770"/>
      <c r="BC20" s="770"/>
      <c r="BD20" s="770"/>
      <c r="BE20" s="770"/>
      <c r="BF20" s="770"/>
      <c r="BG20" s="770"/>
      <c r="BH20" s="770"/>
      <c r="BI20" s="770"/>
      <c r="BJ20" s="770"/>
      <c r="BK20" s="770"/>
    </row>
    <row r="21" spans="1:63" ht="15.75">
      <c r="A21" s="149" t="s">
        <v>107</v>
      </c>
      <c r="B21" s="94">
        <f>'K&amp;M data'!D29</f>
        <v>201350.38</v>
      </c>
      <c r="C21" s="94">
        <f>'K&amp;M data'!E30</f>
        <v>0</v>
      </c>
      <c r="D21" s="243">
        <f t="shared" si="0"/>
        <v>201350.38</v>
      </c>
      <c r="E21" s="770"/>
      <c r="G21" s="770"/>
      <c r="H21" s="770"/>
      <c r="I21" s="770"/>
      <c r="J21" s="770"/>
      <c r="K21" s="770"/>
      <c r="L21" s="770"/>
      <c r="M21" s="770"/>
      <c r="N21" s="770"/>
      <c r="O21" s="770"/>
      <c r="P21" s="770"/>
      <c r="Q21" s="770"/>
      <c r="R21" s="770"/>
      <c r="S21" s="770"/>
      <c r="T21" s="770"/>
      <c r="U21" s="770"/>
      <c r="V21" s="770"/>
      <c r="W21" s="770"/>
      <c r="X21" s="770"/>
      <c r="Y21" s="770"/>
      <c r="Z21" s="770"/>
      <c r="AA21" s="770"/>
      <c r="AB21" s="770"/>
      <c r="AC21" s="770"/>
      <c r="AD21" s="770"/>
      <c r="AE21" s="770"/>
      <c r="AF21" s="770"/>
      <c r="AG21" s="770"/>
      <c r="AH21" s="770"/>
      <c r="AI21" s="770"/>
      <c r="AJ21" s="770"/>
      <c r="AK21" s="770"/>
      <c r="AL21" s="770"/>
      <c r="AM21" s="770"/>
      <c r="AN21" s="770"/>
      <c r="AO21" s="770"/>
      <c r="AP21" s="770"/>
      <c r="AQ21" s="770"/>
      <c r="AR21" s="770"/>
      <c r="AS21" s="770"/>
      <c r="AT21" s="770"/>
      <c r="AU21" s="770"/>
      <c r="AV21" s="770"/>
      <c r="AW21" s="770"/>
      <c r="AX21" s="770"/>
      <c r="AY21" s="770"/>
      <c r="AZ21" s="770"/>
      <c r="BA21" s="770"/>
      <c r="BB21" s="770"/>
      <c r="BC21" s="770"/>
      <c r="BD21" s="770"/>
      <c r="BE21" s="770"/>
      <c r="BF21" s="770"/>
      <c r="BG21" s="770"/>
      <c r="BH21" s="770"/>
      <c r="BI21" s="770"/>
      <c r="BJ21" s="770"/>
      <c r="BK21" s="770"/>
    </row>
    <row r="22" spans="1:63" ht="15.75">
      <c r="A22" s="208" t="s">
        <v>108</v>
      </c>
      <c r="B22" s="97">
        <f>SUM(B6:B21)</f>
        <v>519928.25</v>
      </c>
      <c r="C22" s="247">
        <f>SUM(C6:C21)</f>
        <v>0</v>
      </c>
      <c r="D22" s="245">
        <f>SUM(D6:D21)</f>
        <v>519928.25</v>
      </c>
      <c r="E22" s="776"/>
      <c r="G22" s="770"/>
      <c r="H22" s="770"/>
      <c r="I22" s="770"/>
      <c r="J22" s="770"/>
      <c r="K22" s="770"/>
      <c r="L22" s="770"/>
      <c r="M22" s="770"/>
      <c r="N22" s="770"/>
      <c r="O22" s="770"/>
      <c r="P22" s="770"/>
      <c r="Q22" s="770"/>
      <c r="R22" s="770"/>
      <c r="S22" s="770"/>
      <c r="T22" s="770"/>
      <c r="U22" s="770"/>
      <c r="V22" s="770"/>
      <c r="W22" s="770"/>
      <c r="X22" s="770"/>
      <c r="Y22" s="770"/>
      <c r="Z22" s="770"/>
      <c r="AA22" s="770"/>
      <c r="AB22" s="770"/>
      <c r="AC22" s="770"/>
      <c r="AD22" s="770"/>
      <c r="AE22" s="770"/>
      <c r="AF22" s="770"/>
      <c r="AG22" s="770"/>
      <c r="AH22" s="770"/>
      <c r="AI22" s="770"/>
      <c r="AJ22" s="770"/>
      <c r="AK22" s="770"/>
      <c r="AL22" s="770"/>
      <c r="AM22" s="770"/>
      <c r="AN22" s="770"/>
      <c r="AO22" s="770"/>
      <c r="AP22" s="770"/>
      <c r="AQ22" s="770"/>
      <c r="AR22" s="770"/>
      <c r="AS22" s="770"/>
      <c r="AT22" s="770"/>
      <c r="AU22" s="770"/>
      <c r="AV22" s="770"/>
      <c r="AW22" s="770"/>
      <c r="AX22" s="770"/>
      <c r="AY22" s="770"/>
      <c r="AZ22" s="770"/>
      <c r="BA22" s="770"/>
      <c r="BB22" s="770"/>
      <c r="BC22" s="770"/>
      <c r="BD22" s="770"/>
      <c r="BE22" s="770"/>
      <c r="BF22" s="770"/>
      <c r="BG22" s="770"/>
      <c r="BH22" s="770"/>
      <c r="BI22" s="770"/>
      <c r="BJ22" s="770"/>
      <c r="BK22" s="770"/>
    </row>
    <row r="23" spans="1:63" ht="15.75">
      <c r="A23" s="85"/>
      <c r="B23" s="85"/>
      <c r="C23" s="85"/>
      <c r="D23" s="85"/>
      <c r="E23" s="770"/>
      <c r="F23" s="770"/>
      <c r="G23" s="770"/>
      <c r="H23" s="770"/>
      <c r="I23" s="770"/>
      <c r="J23" s="770"/>
      <c r="K23" s="770"/>
      <c r="L23" s="770"/>
      <c r="M23" s="770"/>
      <c r="N23" s="770"/>
      <c r="O23" s="770"/>
      <c r="P23" s="770"/>
      <c r="Q23" s="770"/>
      <c r="R23" s="770"/>
      <c r="S23" s="770"/>
      <c r="T23" s="770"/>
      <c r="U23" s="770"/>
      <c r="V23" s="770"/>
      <c r="W23" s="770"/>
      <c r="X23" s="770"/>
      <c r="Y23" s="770"/>
      <c r="Z23" s="770"/>
      <c r="AA23" s="770"/>
      <c r="AB23" s="770"/>
      <c r="AC23" s="770"/>
      <c r="AD23" s="770"/>
      <c r="AE23" s="770"/>
      <c r="AF23" s="770"/>
      <c r="AG23" s="770"/>
      <c r="AH23" s="770"/>
      <c r="AI23" s="770"/>
      <c r="AJ23" s="770"/>
      <c r="AK23" s="770"/>
      <c r="AL23" s="770"/>
      <c r="AM23" s="770"/>
      <c r="AN23" s="770"/>
      <c r="AO23" s="770"/>
      <c r="AP23" s="770"/>
      <c r="AQ23" s="770"/>
      <c r="AR23" s="770"/>
      <c r="AS23" s="770"/>
      <c r="AT23" s="770"/>
      <c r="AU23" s="770"/>
      <c r="AV23" s="770"/>
      <c r="AW23" s="770"/>
      <c r="AX23" s="770"/>
      <c r="AY23" s="770"/>
      <c r="AZ23" s="770"/>
      <c r="BA23" s="770"/>
      <c r="BB23" s="770"/>
      <c r="BC23" s="770"/>
      <c r="BD23" s="770"/>
      <c r="BE23" s="770"/>
      <c r="BF23" s="770"/>
      <c r="BG23" s="770"/>
      <c r="BH23" s="770"/>
      <c r="BI23" s="770"/>
      <c r="BJ23" s="770"/>
      <c r="BK23" s="770"/>
    </row>
    <row r="24" spans="1:63" ht="15.75">
      <c r="A24" s="85"/>
      <c r="B24" s="85"/>
      <c r="C24" s="85"/>
      <c r="D24" s="85"/>
      <c r="E24" s="770"/>
      <c r="F24" s="770"/>
      <c r="G24" s="770"/>
      <c r="H24" s="770"/>
      <c r="I24" s="770"/>
      <c r="J24" s="770"/>
      <c r="K24" s="770"/>
      <c r="L24" s="770"/>
      <c r="M24" s="770"/>
      <c r="N24" s="770"/>
      <c r="O24" s="770"/>
      <c r="P24" s="770"/>
      <c r="Q24" s="770"/>
      <c r="R24" s="770"/>
      <c r="S24" s="770"/>
      <c r="T24" s="770"/>
      <c r="U24" s="770"/>
      <c r="V24" s="770"/>
      <c r="W24" s="770"/>
      <c r="X24" s="770"/>
      <c r="Y24" s="770"/>
      <c r="Z24" s="770"/>
      <c r="AA24" s="770"/>
      <c r="AB24" s="770"/>
      <c r="AC24" s="770"/>
      <c r="AD24" s="770"/>
      <c r="AE24" s="770"/>
      <c r="AF24" s="770"/>
      <c r="AG24" s="770"/>
      <c r="AH24" s="770"/>
      <c r="AI24" s="770"/>
      <c r="AJ24" s="770"/>
      <c r="AK24" s="770"/>
      <c r="AL24" s="770"/>
      <c r="AM24" s="770"/>
      <c r="AN24" s="770"/>
      <c r="AO24" s="770"/>
      <c r="AP24" s="770"/>
      <c r="AQ24" s="770"/>
      <c r="AR24" s="770"/>
      <c r="AS24" s="770"/>
      <c r="AT24" s="770"/>
      <c r="AU24" s="770"/>
      <c r="AV24" s="770"/>
      <c r="AW24" s="770"/>
      <c r="AX24" s="770"/>
      <c r="AY24" s="770"/>
      <c r="AZ24" s="770"/>
      <c r="BA24" s="770"/>
      <c r="BB24" s="770"/>
      <c r="BC24" s="770"/>
      <c r="BD24" s="770"/>
      <c r="BE24" s="770"/>
      <c r="BF24" s="770"/>
      <c r="BG24" s="770"/>
      <c r="BH24" s="770"/>
      <c r="BI24" s="770"/>
      <c r="BJ24" s="770"/>
      <c r="BK24" s="770"/>
    </row>
    <row r="25" spans="1:63" ht="15.75">
      <c r="A25" s="248" t="s">
        <v>586</v>
      </c>
      <c r="B25" s="85"/>
      <c r="C25" s="85"/>
      <c r="D25" s="85"/>
      <c r="E25" s="770"/>
      <c r="F25" s="770"/>
      <c r="G25" s="770"/>
      <c r="H25" s="770"/>
      <c r="I25" s="770"/>
      <c r="J25" s="770"/>
      <c r="K25" s="770"/>
      <c r="L25" s="770"/>
      <c r="M25" s="770"/>
      <c r="N25" s="770"/>
      <c r="O25" s="770"/>
      <c r="P25" s="770"/>
      <c r="Q25" s="770"/>
      <c r="R25" s="770"/>
      <c r="S25" s="770"/>
      <c r="T25" s="770"/>
      <c r="U25" s="770"/>
      <c r="V25" s="770"/>
      <c r="W25" s="770"/>
      <c r="X25" s="770"/>
      <c r="Y25" s="770"/>
      <c r="Z25" s="770"/>
      <c r="AA25" s="770"/>
      <c r="AB25" s="770"/>
      <c r="AC25" s="770"/>
      <c r="AD25" s="770"/>
      <c r="AE25" s="770"/>
      <c r="AF25" s="770"/>
      <c r="AG25" s="770"/>
      <c r="AH25" s="770"/>
      <c r="AI25" s="770"/>
      <c r="AJ25" s="770"/>
      <c r="AK25" s="770"/>
      <c r="AL25" s="770"/>
      <c r="AM25" s="770"/>
      <c r="AN25" s="770"/>
      <c r="AO25" s="770"/>
      <c r="AP25" s="770"/>
      <c r="AQ25" s="770"/>
      <c r="AR25" s="770"/>
      <c r="AS25" s="770"/>
      <c r="AT25" s="770"/>
      <c r="AU25" s="770"/>
      <c r="AV25" s="770"/>
      <c r="AW25" s="770"/>
      <c r="AX25" s="770"/>
      <c r="AY25" s="770"/>
      <c r="AZ25" s="770"/>
      <c r="BA25" s="770"/>
      <c r="BB25" s="770"/>
      <c r="BC25" s="770"/>
      <c r="BD25" s="770"/>
      <c r="BE25" s="770"/>
      <c r="BF25" s="770"/>
      <c r="BG25" s="770"/>
      <c r="BH25" s="770"/>
      <c r="BI25" s="770"/>
      <c r="BJ25" s="770"/>
      <c r="BK25" s="770"/>
    </row>
    <row r="26" spans="1:63" ht="15.75">
      <c r="A26" s="770"/>
      <c r="B26" s="770"/>
      <c r="C26" s="770"/>
      <c r="D26" s="770"/>
      <c r="E26" s="770"/>
      <c r="F26" s="770"/>
      <c r="G26" s="770"/>
      <c r="H26" s="770"/>
      <c r="I26" s="770"/>
      <c r="J26" s="770"/>
      <c r="K26" s="770"/>
      <c r="L26" s="770"/>
      <c r="M26" s="770"/>
      <c r="N26" s="770"/>
      <c r="O26" s="770"/>
      <c r="P26" s="770"/>
      <c r="Q26" s="770"/>
      <c r="R26" s="770"/>
      <c r="S26" s="770"/>
      <c r="T26" s="770"/>
      <c r="U26" s="770"/>
      <c r="V26" s="770"/>
      <c r="W26" s="770"/>
      <c r="X26" s="770"/>
      <c r="Y26" s="770"/>
      <c r="Z26" s="770"/>
      <c r="AA26" s="770"/>
      <c r="AB26" s="770"/>
      <c r="AC26" s="770"/>
      <c r="AD26" s="770"/>
      <c r="AE26" s="770"/>
      <c r="AF26" s="770"/>
      <c r="AG26" s="770"/>
      <c r="AH26" s="770"/>
      <c r="AI26" s="770"/>
      <c r="AJ26" s="770"/>
      <c r="AK26" s="770"/>
      <c r="AL26" s="770"/>
      <c r="AM26" s="770"/>
      <c r="AN26" s="770"/>
      <c r="AO26" s="770"/>
      <c r="AP26" s="770"/>
      <c r="AQ26" s="770"/>
      <c r="AR26" s="770"/>
      <c r="AS26" s="770"/>
      <c r="AT26" s="770"/>
      <c r="AU26" s="770"/>
      <c r="AV26" s="770"/>
      <c r="AW26" s="770"/>
      <c r="AX26" s="770"/>
      <c r="AY26" s="770"/>
      <c r="AZ26" s="770"/>
      <c r="BA26" s="770"/>
      <c r="BB26" s="770"/>
      <c r="BC26" s="770"/>
      <c r="BD26" s="770"/>
      <c r="BE26" s="770"/>
      <c r="BF26" s="770"/>
      <c r="BG26" s="770"/>
      <c r="BH26" s="770"/>
      <c r="BI26" s="770"/>
      <c r="BJ26" s="770"/>
      <c r="BK26" s="770"/>
    </row>
    <row r="27" spans="1:63" ht="15.75">
      <c r="A27" s="770"/>
      <c r="B27" s="770"/>
      <c r="C27" s="770"/>
      <c r="D27" s="770"/>
      <c r="E27" s="770"/>
      <c r="F27" s="770"/>
      <c r="G27" s="770"/>
      <c r="H27" s="770"/>
      <c r="I27" s="770"/>
      <c r="J27" s="770"/>
      <c r="K27" s="770"/>
      <c r="L27" s="770"/>
      <c r="M27" s="770"/>
      <c r="N27" s="770"/>
      <c r="O27" s="770"/>
      <c r="P27" s="770"/>
      <c r="Q27" s="770"/>
      <c r="R27" s="770"/>
      <c r="S27" s="770"/>
      <c r="T27" s="770"/>
      <c r="U27" s="770"/>
      <c r="V27" s="770"/>
      <c r="W27" s="770"/>
      <c r="X27" s="770"/>
      <c r="Y27" s="770"/>
      <c r="Z27" s="770"/>
      <c r="AA27" s="770"/>
      <c r="AB27" s="770"/>
      <c r="AC27" s="770"/>
      <c r="AD27" s="770"/>
      <c r="AE27" s="770"/>
      <c r="AF27" s="770"/>
      <c r="AG27" s="770"/>
      <c r="AH27" s="770"/>
      <c r="AI27" s="770"/>
      <c r="AJ27" s="770"/>
      <c r="AK27" s="770"/>
      <c r="AL27" s="770"/>
      <c r="AM27" s="770"/>
      <c r="AN27" s="770"/>
      <c r="AO27" s="770"/>
      <c r="AP27" s="770"/>
      <c r="AQ27" s="770"/>
      <c r="AR27" s="770"/>
      <c r="AS27" s="770"/>
      <c r="AT27" s="770"/>
      <c r="AU27" s="770"/>
      <c r="AV27" s="770"/>
      <c r="AW27" s="770"/>
      <c r="AX27" s="770"/>
      <c r="AY27" s="770"/>
      <c r="AZ27" s="770"/>
      <c r="BA27" s="770"/>
      <c r="BB27" s="770"/>
      <c r="BC27" s="770"/>
      <c r="BD27" s="770"/>
      <c r="BE27" s="770"/>
      <c r="BF27" s="770"/>
      <c r="BG27" s="770"/>
      <c r="BH27" s="770"/>
      <c r="BI27" s="770"/>
      <c r="BJ27" s="770"/>
      <c r="BK27" s="770"/>
    </row>
    <row r="28" spans="1:63" ht="15.75">
      <c r="A28" s="770"/>
      <c r="B28" s="770"/>
      <c r="C28" s="770"/>
      <c r="D28" s="770"/>
      <c r="E28" s="770"/>
      <c r="F28" s="770"/>
      <c r="G28" s="770"/>
      <c r="H28" s="770"/>
      <c r="I28" s="770"/>
      <c r="J28" s="770"/>
      <c r="K28" s="770"/>
      <c r="L28" s="770"/>
      <c r="M28" s="770"/>
      <c r="N28" s="770"/>
      <c r="O28" s="770"/>
      <c r="P28" s="770"/>
      <c r="Q28" s="770"/>
      <c r="R28" s="770"/>
      <c r="S28" s="770"/>
      <c r="T28" s="770"/>
      <c r="U28" s="770"/>
      <c r="V28" s="770"/>
      <c r="W28" s="770"/>
      <c r="X28" s="770"/>
      <c r="Y28" s="770"/>
      <c r="Z28" s="770"/>
      <c r="AA28" s="770"/>
      <c r="AB28" s="770"/>
      <c r="AC28" s="770"/>
      <c r="AD28" s="770"/>
      <c r="AE28" s="770"/>
      <c r="AF28" s="770"/>
      <c r="AG28" s="770"/>
      <c r="AH28" s="770"/>
      <c r="AI28" s="770"/>
      <c r="AJ28" s="770"/>
      <c r="AK28" s="770"/>
      <c r="AL28" s="770"/>
      <c r="AM28" s="770"/>
      <c r="AN28" s="770"/>
      <c r="AO28" s="770"/>
      <c r="AP28" s="770"/>
      <c r="AQ28" s="770"/>
      <c r="AR28" s="770"/>
      <c r="AS28" s="770"/>
      <c r="AT28" s="770"/>
      <c r="AU28" s="770"/>
      <c r="AV28" s="770"/>
      <c r="AW28" s="770"/>
      <c r="AX28" s="770"/>
      <c r="AY28" s="770"/>
      <c r="AZ28" s="770"/>
      <c r="BA28" s="770"/>
      <c r="BB28" s="770"/>
      <c r="BC28" s="770"/>
      <c r="BD28" s="770"/>
      <c r="BE28" s="770"/>
      <c r="BF28" s="770"/>
      <c r="BG28" s="770"/>
      <c r="BH28" s="770"/>
      <c r="BI28" s="770"/>
      <c r="BJ28" s="770"/>
      <c r="BK28" s="770"/>
    </row>
    <row r="29" spans="1:63" ht="15.75">
      <c r="A29" s="770"/>
      <c r="B29" s="770"/>
      <c r="C29" s="770"/>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770"/>
      <c r="AM29" s="770"/>
      <c r="AN29" s="770"/>
      <c r="AO29" s="770"/>
      <c r="AP29" s="770"/>
      <c r="AQ29" s="770"/>
      <c r="AR29" s="770"/>
      <c r="AS29" s="770"/>
      <c r="AT29" s="770"/>
      <c r="AU29" s="770"/>
      <c r="AV29" s="770"/>
      <c r="AW29" s="770"/>
      <c r="AX29" s="770"/>
      <c r="AY29" s="770"/>
      <c r="AZ29" s="770"/>
      <c r="BA29" s="770"/>
      <c r="BB29" s="770"/>
      <c r="BC29" s="770"/>
      <c r="BD29" s="770"/>
      <c r="BE29" s="770"/>
      <c r="BF29" s="770"/>
      <c r="BG29" s="770"/>
      <c r="BH29" s="770"/>
      <c r="BI29" s="770"/>
      <c r="BJ29" s="770"/>
      <c r="BK29" s="770"/>
    </row>
    <row r="30" spans="1:63" ht="15.75">
      <c r="A30" s="770"/>
      <c r="B30" s="770"/>
      <c r="C30" s="770"/>
      <c r="D30" s="770"/>
      <c r="E30" s="770"/>
      <c r="F30" s="770"/>
      <c r="G30" s="770"/>
      <c r="H30" s="770"/>
      <c r="I30" s="770"/>
      <c r="J30" s="770"/>
      <c r="K30" s="770"/>
      <c r="L30" s="770"/>
      <c r="M30" s="770"/>
      <c r="N30" s="770"/>
      <c r="O30" s="770"/>
      <c r="P30" s="770"/>
      <c r="Q30" s="770"/>
      <c r="R30" s="770"/>
      <c r="S30" s="770"/>
      <c r="T30" s="770"/>
      <c r="U30" s="770"/>
      <c r="V30" s="770"/>
      <c r="W30" s="770"/>
      <c r="X30" s="770"/>
      <c r="Y30" s="770"/>
      <c r="Z30" s="770"/>
      <c r="AA30" s="770"/>
      <c r="AB30" s="770"/>
      <c r="AC30" s="770"/>
      <c r="AD30" s="770"/>
      <c r="AE30" s="770"/>
      <c r="AF30" s="770"/>
      <c r="AG30" s="770"/>
      <c r="AH30" s="770"/>
      <c r="AI30" s="770"/>
      <c r="AJ30" s="770"/>
      <c r="AK30" s="770"/>
      <c r="AL30" s="770"/>
      <c r="AM30" s="770"/>
      <c r="AN30" s="770"/>
      <c r="AO30" s="770"/>
      <c r="AP30" s="770"/>
      <c r="AQ30" s="770"/>
      <c r="AR30" s="770"/>
      <c r="AS30" s="770"/>
      <c r="AT30" s="770"/>
      <c r="AU30" s="770"/>
      <c r="AV30" s="770"/>
      <c r="AW30" s="770"/>
      <c r="AX30" s="770"/>
      <c r="AY30" s="770"/>
      <c r="AZ30" s="770"/>
      <c r="BA30" s="770"/>
      <c r="BB30" s="770"/>
      <c r="BC30" s="770"/>
      <c r="BD30" s="770"/>
      <c r="BE30" s="770"/>
      <c r="BF30" s="770"/>
      <c r="BG30" s="770"/>
      <c r="BH30" s="770"/>
      <c r="BI30" s="770"/>
      <c r="BJ30" s="770"/>
      <c r="BK30" s="770"/>
    </row>
    <row r="31" spans="1:63" ht="15.75">
      <c r="A31" s="770"/>
      <c r="B31" s="770"/>
      <c r="C31" s="770"/>
      <c r="D31" s="770"/>
      <c r="E31" s="770"/>
      <c r="F31" s="770"/>
      <c r="G31" s="770"/>
      <c r="H31" s="770"/>
      <c r="I31" s="770"/>
      <c r="J31" s="770"/>
      <c r="K31" s="770"/>
      <c r="L31" s="770"/>
      <c r="M31" s="770"/>
      <c r="N31" s="770"/>
      <c r="O31" s="770"/>
      <c r="P31" s="770"/>
      <c r="Q31" s="770"/>
      <c r="R31" s="770"/>
      <c r="S31" s="770"/>
      <c r="T31" s="770"/>
      <c r="U31" s="770"/>
      <c r="V31" s="770"/>
      <c r="W31" s="770"/>
      <c r="X31" s="770"/>
      <c r="Y31" s="770"/>
      <c r="Z31" s="770"/>
      <c r="AA31" s="770"/>
      <c r="AB31" s="770"/>
      <c r="AC31" s="770"/>
      <c r="AD31" s="770"/>
      <c r="AE31" s="770"/>
      <c r="AF31" s="770"/>
      <c r="AG31" s="770"/>
      <c r="AH31" s="770"/>
      <c r="AI31" s="770"/>
      <c r="AJ31" s="770"/>
      <c r="AK31" s="770"/>
      <c r="AL31" s="770"/>
      <c r="AM31" s="770"/>
      <c r="AN31" s="770"/>
      <c r="AO31" s="770"/>
      <c r="AP31" s="770"/>
      <c r="AQ31" s="770"/>
      <c r="AR31" s="770"/>
      <c r="AS31" s="770"/>
      <c r="AT31" s="770"/>
      <c r="AU31" s="770"/>
      <c r="AV31" s="770"/>
      <c r="AW31" s="770"/>
      <c r="AX31" s="770"/>
      <c r="AY31" s="770"/>
      <c r="AZ31" s="770"/>
      <c r="BA31" s="770"/>
      <c r="BB31" s="770"/>
      <c r="BC31" s="770"/>
      <c r="BD31" s="770"/>
      <c r="BE31" s="770"/>
      <c r="BF31" s="770"/>
      <c r="BG31" s="770"/>
      <c r="BH31" s="770"/>
      <c r="BI31" s="770"/>
      <c r="BJ31" s="770"/>
      <c r="BK31" s="770"/>
    </row>
    <row r="32" spans="1:63" ht="15.75">
      <c r="A32" s="770"/>
      <c r="B32" s="770"/>
      <c r="C32" s="770"/>
      <c r="D32" s="770"/>
      <c r="E32" s="770"/>
      <c r="F32" s="770"/>
      <c r="G32" s="770"/>
      <c r="H32" s="770"/>
      <c r="I32" s="770"/>
      <c r="J32" s="770"/>
      <c r="K32" s="770"/>
      <c r="L32" s="770"/>
      <c r="M32" s="770"/>
      <c r="N32" s="770"/>
      <c r="O32" s="770"/>
      <c r="P32" s="770"/>
      <c r="Q32" s="770"/>
      <c r="R32" s="770"/>
      <c r="S32" s="770"/>
      <c r="T32" s="770"/>
      <c r="U32" s="770"/>
      <c r="V32" s="770"/>
      <c r="W32" s="770"/>
      <c r="X32" s="770"/>
      <c r="Y32" s="770"/>
      <c r="Z32" s="770"/>
      <c r="AA32" s="770"/>
      <c r="AB32" s="770"/>
      <c r="AC32" s="770"/>
      <c r="AD32" s="770"/>
      <c r="AE32" s="770"/>
      <c r="AF32" s="770"/>
      <c r="AG32" s="770"/>
      <c r="AH32" s="770"/>
      <c r="AI32" s="770"/>
      <c r="AJ32" s="770"/>
      <c r="AK32" s="770"/>
      <c r="AL32" s="770"/>
      <c r="AM32" s="770"/>
      <c r="AN32" s="770"/>
      <c r="AO32" s="770"/>
      <c r="AP32" s="770"/>
      <c r="AQ32" s="770"/>
      <c r="AR32" s="770"/>
      <c r="AS32" s="770"/>
      <c r="AT32" s="770"/>
      <c r="AU32" s="770"/>
      <c r="AV32" s="770"/>
      <c r="AW32" s="770"/>
      <c r="AX32" s="770"/>
      <c r="AY32" s="770"/>
      <c r="AZ32" s="770"/>
      <c r="BA32" s="770"/>
      <c r="BB32" s="770"/>
      <c r="BC32" s="770"/>
      <c r="BD32" s="770"/>
      <c r="BE32" s="770"/>
      <c r="BF32" s="770"/>
      <c r="BG32" s="770"/>
      <c r="BH32" s="770"/>
      <c r="BI32" s="770"/>
      <c r="BJ32" s="770"/>
      <c r="BK32" s="770"/>
    </row>
    <row r="33" spans="1:63" ht="15.75">
      <c r="A33" s="770"/>
      <c r="B33" s="770"/>
      <c r="C33" s="770"/>
      <c r="D33" s="770"/>
      <c r="E33" s="770"/>
      <c r="F33" s="770"/>
      <c r="G33" s="770"/>
      <c r="H33" s="770"/>
      <c r="I33" s="770"/>
      <c r="J33" s="770"/>
      <c r="K33" s="770"/>
      <c r="L33" s="770"/>
      <c r="M33" s="770"/>
      <c r="N33" s="770"/>
      <c r="O33" s="770"/>
      <c r="P33" s="770"/>
      <c r="Q33" s="770"/>
      <c r="R33" s="770"/>
      <c r="S33" s="770"/>
      <c r="T33" s="770"/>
      <c r="U33" s="770"/>
      <c r="V33" s="770"/>
      <c r="W33" s="770"/>
      <c r="X33" s="770"/>
      <c r="Y33" s="770"/>
      <c r="Z33" s="770"/>
      <c r="AA33" s="770"/>
      <c r="AB33" s="770"/>
      <c r="AC33" s="770"/>
      <c r="AD33" s="770"/>
      <c r="AE33" s="770"/>
      <c r="AF33" s="770"/>
      <c r="AG33" s="770"/>
      <c r="AH33" s="770"/>
      <c r="AI33" s="770"/>
      <c r="AJ33" s="770"/>
      <c r="AK33" s="770"/>
      <c r="AL33" s="770"/>
      <c r="AM33" s="770"/>
      <c r="AN33" s="770"/>
      <c r="AO33" s="770"/>
      <c r="AP33" s="770"/>
      <c r="AQ33" s="770"/>
      <c r="AR33" s="770"/>
      <c r="AS33" s="770"/>
      <c r="AT33" s="770"/>
      <c r="AU33" s="770"/>
      <c r="AV33" s="770"/>
      <c r="AW33" s="770"/>
      <c r="AX33" s="770"/>
      <c r="AY33" s="770"/>
      <c r="AZ33" s="770"/>
      <c r="BA33" s="770"/>
      <c r="BB33" s="770"/>
      <c r="BC33" s="770"/>
      <c r="BD33" s="770"/>
      <c r="BE33" s="770"/>
      <c r="BF33" s="770"/>
      <c r="BG33" s="770"/>
      <c r="BH33" s="770"/>
      <c r="BI33" s="770"/>
      <c r="BJ33" s="770"/>
      <c r="BK33" s="770"/>
    </row>
    <row r="34" spans="1:63" ht="15.75">
      <c r="A34" s="770"/>
      <c r="B34" s="770"/>
      <c r="C34" s="770"/>
      <c r="D34" s="770"/>
      <c r="E34" s="770"/>
      <c r="F34" s="770"/>
      <c r="G34" s="770"/>
      <c r="H34" s="770"/>
      <c r="I34" s="770"/>
      <c r="J34" s="770"/>
      <c r="K34" s="770"/>
      <c r="L34" s="770"/>
      <c r="M34" s="770"/>
      <c r="N34" s="770"/>
      <c r="O34" s="770"/>
      <c r="P34" s="770"/>
      <c r="Q34" s="770"/>
      <c r="R34" s="770"/>
      <c r="S34" s="770"/>
      <c r="T34" s="770"/>
      <c r="U34" s="770"/>
      <c r="V34" s="770"/>
      <c r="W34" s="770"/>
      <c r="X34" s="770"/>
      <c r="Y34" s="770"/>
      <c r="Z34" s="770"/>
      <c r="AA34" s="770"/>
      <c r="AB34" s="770"/>
      <c r="AC34" s="770"/>
      <c r="AD34" s="770"/>
      <c r="AE34" s="770"/>
      <c r="AF34" s="770"/>
      <c r="AG34" s="770"/>
      <c r="AH34" s="770"/>
      <c r="AI34" s="770"/>
      <c r="AJ34" s="770"/>
      <c r="AK34" s="770"/>
      <c r="AL34" s="770"/>
      <c r="AM34" s="770"/>
      <c r="AN34" s="770"/>
      <c r="AO34" s="770"/>
      <c r="AP34" s="770"/>
      <c r="AQ34" s="770"/>
      <c r="AR34" s="770"/>
      <c r="AS34" s="770"/>
      <c r="AT34" s="770"/>
      <c r="AU34" s="770"/>
      <c r="AV34" s="770"/>
      <c r="AW34" s="770"/>
      <c r="AX34" s="770"/>
      <c r="AY34" s="770"/>
      <c r="AZ34" s="770"/>
      <c r="BA34" s="770"/>
      <c r="BB34" s="770"/>
      <c r="BC34" s="770"/>
      <c r="BD34" s="770"/>
      <c r="BE34" s="770"/>
      <c r="BF34" s="770"/>
      <c r="BG34" s="770"/>
      <c r="BH34" s="770"/>
      <c r="BI34" s="770"/>
      <c r="BJ34" s="770"/>
      <c r="BK34" s="770"/>
    </row>
    <row r="35" spans="1:63" ht="15.75">
      <c r="A35" s="770"/>
      <c r="B35" s="770"/>
      <c r="C35" s="770"/>
      <c r="D35" s="770"/>
      <c r="E35" s="770"/>
      <c r="F35" s="770"/>
      <c r="G35" s="770"/>
      <c r="H35" s="770"/>
      <c r="I35" s="770"/>
      <c r="J35" s="770"/>
      <c r="K35" s="770"/>
      <c r="L35" s="770"/>
      <c r="M35" s="770"/>
      <c r="N35" s="770"/>
      <c r="O35" s="770"/>
      <c r="P35" s="770"/>
      <c r="Q35" s="770"/>
      <c r="R35" s="770"/>
      <c r="S35" s="770"/>
      <c r="T35" s="770"/>
      <c r="U35" s="770"/>
      <c r="V35" s="770"/>
      <c r="W35" s="770"/>
      <c r="X35" s="770"/>
      <c r="Y35" s="770"/>
      <c r="Z35" s="770"/>
      <c r="AA35" s="770"/>
      <c r="AB35" s="770"/>
      <c r="AC35" s="770"/>
      <c r="AD35" s="770"/>
      <c r="AE35" s="770"/>
      <c r="AF35" s="770"/>
      <c r="AG35" s="770"/>
      <c r="AH35" s="770"/>
      <c r="AI35" s="770"/>
      <c r="AJ35" s="770"/>
      <c r="AK35" s="770"/>
      <c r="AL35" s="770"/>
      <c r="AM35" s="770"/>
      <c r="AN35" s="770"/>
      <c r="AO35" s="770"/>
      <c r="AP35" s="770"/>
      <c r="AQ35" s="770"/>
      <c r="AR35" s="770"/>
      <c r="AS35" s="770"/>
      <c r="AT35" s="770"/>
      <c r="AU35" s="770"/>
      <c r="AV35" s="770"/>
      <c r="AW35" s="770"/>
      <c r="AX35" s="770"/>
      <c r="AY35" s="770"/>
      <c r="AZ35" s="770"/>
      <c r="BA35" s="770"/>
      <c r="BB35" s="770"/>
      <c r="BC35" s="770"/>
      <c r="BD35" s="770"/>
      <c r="BE35" s="770"/>
      <c r="BF35" s="770"/>
      <c r="BG35" s="770"/>
      <c r="BH35" s="770"/>
      <c r="BI35" s="770"/>
      <c r="BJ35" s="770"/>
      <c r="BK35" s="770"/>
    </row>
    <row r="36" spans="1:63" ht="15.75">
      <c r="A36" s="770"/>
      <c r="B36" s="770"/>
      <c r="C36" s="770"/>
      <c r="D36" s="770"/>
      <c r="E36" s="770"/>
      <c r="F36" s="770"/>
      <c r="G36" s="770"/>
      <c r="H36" s="770"/>
      <c r="I36" s="770"/>
      <c r="J36" s="770"/>
      <c r="K36" s="770"/>
      <c r="L36" s="770"/>
      <c r="M36" s="770"/>
      <c r="N36" s="770"/>
      <c r="O36" s="770"/>
      <c r="P36" s="770"/>
      <c r="Q36" s="770"/>
      <c r="R36" s="770"/>
      <c r="S36" s="770"/>
      <c r="T36" s="770"/>
      <c r="U36" s="770"/>
      <c r="V36" s="770"/>
      <c r="W36" s="770"/>
      <c r="X36" s="770"/>
      <c r="Y36" s="770"/>
      <c r="Z36" s="770"/>
      <c r="AA36" s="770"/>
      <c r="AB36" s="770"/>
      <c r="AC36" s="770"/>
      <c r="AD36" s="770"/>
      <c r="AE36" s="770"/>
      <c r="AF36" s="770"/>
      <c r="AG36" s="770"/>
      <c r="AH36" s="770"/>
      <c r="AI36" s="770"/>
      <c r="AJ36" s="770"/>
      <c r="AK36" s="770"/>
      <c r="AL36" s="770"/>
      <c r="AM36" s="770"/>
      <c r="AN36" s="770"/>
      <c r="AO36" s="770"/>
      <c r="AP36" s="770"/>
      <c r="AQ36" s="770"/>
      <c r="AR36" s="770"/>
      <c r="AS36" s="770"/>
      <c r="AT36" s="770"/>
      <c r="AU36" s="770"/>
      <c r="AV36" s="770"/>
      <c r="AW36" s="770"/>
      <c r="AX36" s="770"/>
      <c r="AY36" s="770"/>
      <c r="AZ36" s="770"/>
      <c r="BA36" s="770"/>
      <c r="BB36" s="770"/>
      <c r="BC36" s="770"/>
      <c r="BD36" s="770"/>
      <c r="BE36" s="770"/>
      <c r="BF36" s="770"/>
      <c r="BG36" s="770"/>
      <c r="BH36" s="770"/>
      <c r="BI36" s="770"/>
      <c r="BJ36" s="770"/>
      <c r="BK36" s="770"/>
    </row>
    <row r="37" spans="1:63" ht="15.75">
      <c r="A37" s="770"/>
      <c r="B37" s="770"/>
      <c r="C37" s="770"/>
      <c r="D37" s="770"/>
      <c r="E37" s="770"/>
      <c r="F37" s="770"/>
      <c r="G37" s="770"/>
      <c r="H37" s="770"/>
      <c r="I37" s="770"/>
      <c r="J37" s="770"/>
      <c r="K37" s="770"/>
      <c r="L37" s="770"/>
      <c r="M37" s="770"/>
      <c r="N37" s="770"/>
      <c r="O37" s="770"/>
      <c r="P37" s="770"/>
      <c r="Q37" s="770"/>
      <c r="R37" s="770"/>
      <c r="S37" s="770"/>
      <c r="T37" s="770"/>
      <c r="U37" s="770"/>
      <c r="V37" s="770"/>
      <c r="W37" s="770"/>
      <c r="X37" s="770"/>
      <c r="Y37" s="770"/>
      <c r="Z37" s="770"/>
      <c r="AA37" s="770"/>
      <c r="AB37" s="770"/>
      <c r="AC37" s="770"/>
      <c r="AD37" s="770"/>
      <c r="AE37" s="770"/>
      <c r="AF37" s="770"/>
      <c r="AG37" s="770"/>
      <c r="AH37" s="770"/>
      <c r="AI37" s="770"/>
      <c r="AJ37" s="770"/>
      <c r="AK37" s="770"/>
      <c r="AL37" s="770"/>
      <c r="AM37" s="770"/>
      <c r="AN37" s="770"/>
      <c r="AO37" s="770"/>
      <c r="AP37" s="770"/>
      <c r="AQ37" s="770"/>
      <c r="AR37" s="770"/>
      <c r="AS37" s="770"/>
      <c r="AT37" s="770"/>
      <c r="AU37" s="770"/>
      <c r="AV37" s="770"/>
      <c r="AW37" s="770"/>
      <c r="AX37" s="770"/>
      <c r="AY37" s="770"/>
      <c r="AZ37" s="770"/>
      <c r="BA37" s="770"/>
      <c r="BB37" s="770"/>
      <c r="BC37" s="770"/>
      <c r="BD37" s="770"/>
      <c r="BE37" s="770"/>
      <c r="BF37" s="770"/>
      <c r="BG37" s="770"/>
      <c r="BH37" s="770"/>
      <c r="BI37" s="770"/>
      <c r="BJ37" s="770"/>
      <c r="BK37" s="770"/>
    </row>
    <row r="38" spans="1:63" ht="15.75">
      <c r="A38" s="770"/>
      <c r="B38" s="770"/>
      <c r="C38" s="770"/>
      <c r="D38" s="770"/>
      <c r="E38" s="770"/>
      <c r="F38" s="770"/>
      <c r="G38" s="770"/>
      <c r="H38" s="770"/>
      <c r="I38" s="770"/>
      <c r="J38" s="770"/>
      <c r="K38" s="770"/>
      <c r="L38" s="770"/>
      <c r="M38" s="770"/>
      <c r="N38" s="770"/>
      <c r="O38" s="770"/>
      <c r="P38" s="770"/>
      <c r="Q38" s="770"/>
      <c r="R38" s="770"/>
      <c r="S38" s="770"/>
      <c r="T38" s="770"/>
      <c r="U38" s="770"/>
      <c r="V38" s="770"/>
      <c r="W38" s="770"/>
      <c r="X38" s="770"/>
      <c r="Y38" s="770"/>
      <c r="Z38" s="770"/>
      <c r="AA38" s="770"/>
      <c r="AB38" s="770"/>
      <c r="AC38" s="770"/>
      <c r="AD38" s="770"/>
      <c r="AE38" s="770"/>
      <c r="AF38" s="770"/>
      <c r="AG38" s="770"/>
      <c r="AH38" s="770"/>
      <c r="AI38" s="770"/>
      <c r="AJ38" s="770"/>
      <c r="AK38" s="770"/>
      <c r="AL38" s="770"/>
      <c r="AM38" s="770"/>
      <c r="AN38" s="770"/>
      <c r="AO38" s="770"/>
      <c r="AP38" s="770"/>
      <c r="AQ38" s="770"/>
      <c r="AR38" s="770"/>
      <c r="AS38" s="770"/>
      <c r="AT38" s="770"/>
      <c r="AU38" s="770"/>
      <c r="AV38" s="770"/>
      <c r="AW38" s="770"/>
      <c r="AX38" s="770"/>
      <c r="AY38" s="770"/>
      <c r="AZ38" s="770"/>
      <c r="BA38" s="770"/>
      <c r="BB38" s="770"/>
      <c r="BC38" s="770"/>
      <c r="BD38" s="770"/>
      <c r="BE38" s="770"/>
      <c r="BF38" s="770"/>
      <c r="BG38" s="770"/>
      <c r="BH38" s="770"/>
      <c r="BI38" s="770"/>
      <c r="BJ38" s="770"/>
      <c r="BK38" s="770"/>
    </row>
    <row r="39" spans="1:63" ht="15.75">
      <c r="A39" s="770"/>
      <c r="B39" s="770"/>
      <c r="C39" s="770"/>
      <c r="D39" s="770"/>
      <c r="E39" s="770"/>
      <c r="F39" s="770"/>
      <c r="G39" s="770"/>
      <c r="H39" s="770"/>
      <c r="I39" s="770"/>
      <c r="J39" s="770"/>
      <c r="K39" s="770"/>
      <c r="L39" s="770"/>
      <c r="M39" s="770"/>
      <c r="N39" s="770"/>
      <c r="O39" s="770"/>
      <c r="P39" s="770"/>
      <c r="Q39" s="770"/>
      <c r="R39" s="770"/>
      <c r="S39" s="770"/>
      <c r="T39" s="770"/>
      <c r="U39" s="770"/>
      <c r="V39" s="770"/>
      <c r="W39" s="770"/>
      <c r="X39" s="770"/>
      <c r="Y39" s="770"/>
      <c r="Z39" s="770"/>
      <c r="AA39" s="770"/>
      <c r="AB39" s="770"/>
      <c r="AC39" s="770"/>
      <c r="AD39" s="770"/>
      <c r="AE39" s="770"/>
      <c r="AF39" s="770"/>
      <c r="AG39" s="770"/>
      <c r="AH39" s="770"/>
      <c r="AI39" s="770"/>
      <c r="AJ39" s="770"/>
      <c r="AK39" s="770"/>
      <c r="AL39" s="770"/>
      <c r="AM39" s="770"/>
      <c r="AN39" s="770"/>
      <c r="AO39" s="770"/>
      <c r="AP39" s="770"/>
      <c r="AQ39" s="770"/>
      <c r="AR39" s="770"/>
      <c r="AS39" s="770"/>
      <c r="AT39" s="770"/>
      <c r="AU39" s="770"/>
      <c r="AV39" s="770"/>
      <c r="AW39" s="770"/>
      <c r="AX39" s="770"/>
      <c r="AY39" s="770"/>
      <c r="AZ39" s="770"/>
      <c r="BA39" s="770"/>
      <c r="BB39" s="770"/>
      <c r="BC39" s="770"/>
      <c r="BD39" s="770"/>
      <c r="BE39" s="770"/>
      <c r="BF39" s="770"/>
      <c r="BG39" s="770"/>
      <c r="BH39" s="770"/>
      <c r="BI39" s="770"/>
      <c r="BJ39" s="770"/>
      <c r="BK39" s="770"/>
    </row>
    <row r="40" spans="1:63" ht="15.75">
      <c r="A40" s="770"/>
      <c r="B40" s="770"/>
      <c r="C40" s="770"/>
      <c r="D40" s="770"/>
      <c r="E40" s="770"/>
      <c r="F40" s="770"/>
      <c r="G40" s="770"/>
      <c r="H40" s="770"/>
      <c r="I40" s="770"/>
      <c r="J40" s="770"/>
      <c r="K40" s="770"/>
      <c r="L40" s="770"/>
      <c r="M40" s="770"/>
      <c r="N40" s="770"/>
      <c r="O40" s="770"/>
      <c r="P40" s="770"/>
      <c r="Q40" s="770"/>
      <c r="R40" s="770"/>
      <c r="S40" s="770"/>
      <c r="T40" s="770"/>
      <c r="U40" s="770"/>
      <c r="V40" s="770"/>
      <c r="W40" s="770"/>
      <c r="X40" s="770"/>
      <c r="Y40" s="770"/>
      <c r="Z40" s="770"/>
      <c r="AA40" s="770"/>
      <c r="AB40" s="770"/>
      <c r="AC40" s="770"/>
      <c r="AD40" s="770"/>
      <c r="AE40" s="770"/>
      <c r="AF40" s="770"/>
      <c r="AG40" s="770"/>
      <c r="AH40" s="770"/>
      <c r="AI40" s="770"/>
      <c r="AJ40" s="770"/>
      <c r="AK40" s="770"/>
      <c r="AL40" s="770"/>
      <c r="AM40" s="770"/>
      <c r="AN40" s="770"/>
      <c r="AO40" s="770"/>
      <c r="AP40" s="770"/>
      <c r="AQ40" s="770"/>
      <c r="AR40" s="770"/>
      <c r="AS40" s="770"/>
      <c r="AT40" s="770"/>
      <c r="AU40" s="770"/>
      <c r="AV40" s="770"/>
      <c r="AW40" s="770"/>
      <c r="AX40" s="770"/>
      <c r="AY40" s="770"/>
      <c r="AZ40" s="770"/>
      <c r="BA40" s="770"/>
      <c r="BB40" s="770"/>
      <c r="BC40" s="770"/>
      <c r="BD40" s="770"/>
      <c r="BE40" s="770"/>
      <c r="BF40" s="770"/>
      <c r="BG40" s="770"/>
      <c r="BH40" s="770"/>
      <c r="BI40" s="770"/>
      <c r="BJ40" s="770"/>
      <c r="BK40" s="770"/>
    </row>
    <row r="41" spans="1:63" ht="15.75">
      <c r="A41" s="770"/>
      <c r="B41" s="770"/>
      <c r="C41" s="770"/>
      <c r="D41" s="770"/>
      <c r="E41" s="770"/>
      <c r="F41" s="770"/>
      <c r="G41" s="770"/>
      <c r="H41" s="770"/>
      <c r="I41" s="770"/>
      <c r="J41" s="770"/>
      <c r="K41" s="770"/>
      <c r="L41" s="770"/>
      <c r="M41" s="770"/>
      <c r="N41" s="770"/>
      <c r="O41" s="770"/>
      <c r="P41" s="770"/>
      <c r="Q41" s="770"/>
      <c r="R41" s="770"/>
      <c r="S41" s="770"/>
      <c r="T41" s="770"/>
      <c r="U41" s="770"/>
      <c r="V41" s="770"/>
      <c r="W41" s="770"/>
      <c r="X41" s="770"/>
      <c r="Y41" s="770"/>
      <c r="Z41" s="770"/>
      <c r="AA41" s="770"/>
      <c r="AB41" s="770"/>
      <c r="AC41" s="770"/>
      <c r="AD41" s="770"/>
      <c r="AE41" s="770"/>
      <c r="AF41" s="770"/>
      <c r="AG41" s="770"/>
      <c r="AH41" s="770"/>
      <c r="AI41" s="770"/>
      <c r="AJ41" s="770"/>
      <c r="AK41" s="770"/>
      <c r="AL41" s="770"/>
      <c r="AM41" s="770"/>
      <c r="AN41" s="770"/>
      <c r="AO41" s="770"/>
      <c r="AP41" s="770"/>
      <c r="AQ41" s="770"/>
      <c r="AR41" s="770"/>
      <c r="AS41" s="770"/>
      <c r="AT41" s="770"/>
      <c r="AU41" s="770"/>
      <c r="AV41" s="770"/>
      <c r="AW41" s="770"/>
      <c r="AX41" s="770"/>
      <c r="AY41" s="770"/>
      <c r="AZ41" s="770"/>
      <c r="BA41" s="770"/>
      <c r="BB41" s="770"/>
      <c r="BC41" s="770"/>
      <c r="BD41" s="770"/>
      <c r="BE41" s="770"/>
      <c r="BF41" s="770"/>
      <c r="BG41" s="770"/>
      <c r="BH41" s="770"/>
      <c r="BI41" s="770"/>
      <c r="BJ41" s="770"/>
      <c r="BK41" s="770"/>
    </row>
    <row r="42" spans="1:63" ht="15.75">
      <c r="A42" s="770"/>
      <c r="B42" s="770"/>
      <c r="C42" s="770"/>
      <c r="D42" s="770"/>
      <c r="E42" s="770"/>
      <c r="F42" s="770"/>
      <c r="G42" s="770"/>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c r="AL42" s="770"/>
      <c r="AM42" s="770"/>
      <c r="AN42" s="770"/>
      <c r="AO42" s="770"/>
      <c r="AP42" s="770"/>
      <c r="AQ42" s="770"/>
      <c r="AR42" s="770"/>
      <c r="AS42" s="770"/>
      <c r="AT42" s="770"/>
      <c r="AU42" s="770"/>
      <c r="AV42" s="770"/>
      <c r="AW42" s="770"/>
      <c r="AX42" s="770"/>
      <c r="AY42" s="770"/>
      <c r="AZ42" s="770"/>
      <c r="BA42" s="770"/>
      <c r="BB42" s="770"/>
      <c r="BC42" s="770"/>
      <c r="BD42" s="770"/>
      <c r="BE42" s="770"/>
      <c r="BF42" s="770"/>
      <c r="BG42" s="770"/>
      <c r="BH42" s="770"/>
      <c r="BI42" s="770"/>
      <c r="BJ42" s="770"/>
      <c r="BK42" s="770"/>
    </row>
    <row r="43" spans="1:63" ht="15.75">
      <c r="A43" s="770"/>
      <c r="B43" s="770"/>
      <c r="C43" s="770"/>
      <c r="D43" s="770"/>
      <c r="E43" s="770"/>
      <c r="F43" s="770"/>
      <c r="G43" s="770"/>
      <c r="H43" s="770"/>
      <c r="I43" s="770"/>
      <c r="J43" s="770"/>
      <c r="K43" s="770"/>
      <c r="L43" s="770"/>
      <c r="M43" s="770"/>
      <c r="N43" s="770"/>
      <c r="O43" s="770"/>
      <c r="P43" s="770"/>
      <c r="Q43" s="770"/>
      <c r="R43" s="770"/>
      <c r="S43" s="770"/>
      <c r="T43" s="770"/>
      <c r="U43" s="770"/>
      <c r="V43" s="770"/>
      <c r="W43" s="770"/>
      <c r="X43" s="770"/>
      <c r="Y43" s="770"/>
      <c r="Z43" s="770"/>
      <c r="AA43" s="770"/>
      <c r="AB43" s="770"/>
      <c r="AC43" s="770"/>
      <c r="AD43" s="770"/>
      <c r="AE43" s="770"/>
      <c r="AF43" s="770"/>
      <c r="AG43" s="770"/>
      <c r="AH43" s="770"/>
      <c r="AI43" s="770"/>
      <c r="AJ43" s="770"/>
      <c r="AK43" s="770"/>
      <c r="AL43" s="770"/>
      <c r="AM43" s="770"/>
      <c r="AN43" s="770"/>
      <c r="AO43" s="770"/>
      <c r="AP43" s="770"/>
      <c r="AQ43" s="770"/>
      <c r="AR43" s="770"/>
      <c r="AS43" s="770"/>
      <c r="AT43" s="770"/>
      <c r="AU43" s="770"/>
      <c r="AV43" s="770"/>
      <c r="AW43" s="770"/>
      <c r="AX43" s="770"/>
      <c r="AY43" s="770"/>
      <c r="AZ43" s="770"/>
      <c r="BA43" s="770"/>
      <c r="BB43" s="770"/>
      <c r="BC43" s="770"/>
      <c r="BD43" s="770"/>
      <c r="BE43" s="770"/>
      <c r="BF43" s="770"/>
      <c r="BG43" s="770"/>
      <c r="BH43" s="770"/>
      <c r="BI43" s="770"/>
      <c r="BJ43" s="770"/>
      <c r="BK43" s="770"/>
    </row>
    <row r="44" spans="1:63" ht="15.75">
      <c r="A44" s="770"/>
      <c r="B44" s="770"/>
      <c r="C44" s="770"/>
      <c r="D44" s="770"/>
      <c r="E44" s="770"/>
      <c r="F44" s="770"/>
      <c r="G44" s="770"/>
      <c r="H44" s="770"/>
      <c r="I44" s="770"/>
      <c r="J44" s="770"/>
      <c r="K44" s="770"/>
      <c r="L44" s="770"/>
      <c r="M44" s="770"/>
      <c r="N44" s="770"/>
      <c r="O44" s="770"/>
      <c r="P44" s="770"/>
      <c r="Q44" s="770"/>
      <c r="R44" s="770"/>
      <c r="S44" s="770"/>
      <c r="T44" s="770"/>
      <c r="U44" s="770"/>
      <c r="V44" s="770"/>
      <c r="W44" s="770"/>
      <c r="X44" s="770"/>
      <c r="Y44" s="770"/>
      <c r="Z44" s="770"/>
      <c r="AA44" s="770"/>
      <c r="AB44" s="770"/>
      <c r="AC44" s="770"/>
      <c r="AD44" s="770"/>
      <c r="AE44" s="770"/>
      <c r="AF44" s="770"/>
      <c r="AG44" s="770"/>
      <c r="AH44" s="770"/>
      <c r="AI44" s="770"/>
      <c r="AJ44" s="770"/>
      <c r="AK44" s="770"/>
      <c r="AL44" s="770"/>
      <c r="AM44" s="770"/>
      <c r="AN44" s="770"/>
      <c r="AO44" s="770"/>
      <c r="AP44" s="770"/>
      <c r="AQ44" s="770"/>
      <c r="AR44" s="770"/>
      <c r="AS44" s="770"/>
      <c r="AT44" s="770"/>
      <c r="AU44" s="770"/>
      <c r="AV44" s="770"/>
      <c r="AW44" s="770"/>
      <c r="AX44" s="770"/>
      <c r="AY44" s="770"/>
      <c r="AZ44" s="770"/>
      <c r="BA44" s="770"/>
      <c r="BB44" s="770"/>
      <c r="BC44" s="770"/>
      <c r="BD44" s="770"/>
      <c r="BE44" s="770"/>
      <c r="BF44" s="770"/>
      <c r="BG44" s="770"/>
      <c r="BH44" s="770"/>
      <c r="BI44" s="770"/>
      <c r="BJ44" s="770"/>
      <c r="BK44" s="770"/>
    </row>
    <row r="45" spans="1:63" ht="15.75">
      <c r="A45" s="770"/>
      <c r="B45" s="770"/>
      <c r="C45" s="770"/>
      <c r="D45" s="770"/>
      <c r="E45" s="770"/>
      <c r="F45" s="770"/>
      <c r="G45" s="770"/>
      <c r="H45" s="770"/>
      <c r="I45" s="770"/>
      <c r="J45" s="770"/>
      <c r="K45" s="770"/>
      <c r="L45" s="770"/>
      <c r="M45" s="770"/>
      <c r="N45" s="770"/>
      <c r="O45" s="770"/>
      <c r="P45" s="770"/>
      <c r="Q45" s="770"/>
      <c r="R45" s="770"/>
      <c r="S45" s="770"/>
      <c r="T45" s="770"/>
      <c r="U45" s="770"/>
      <c r="V45" s="770"/>
      <c r="W45" s="770"/>
      <c r="X45" s="770"/>
      <c r="Y45" s="770"/>
      <c r="Z45" s="770"/>
      <c r="AA45" s="770"/>
      <c r="AB45" s="770"/>
      <c r="AC45" s="770"/>
      <c r="AD45" s="770"/>
      <c r="AE45" s="770"/>
      <c r="AF45" s="770"/>
      <c r="AG45" s="770"/>
      <c r="AH45" s="770"/>
      <c r="AI45" s="770"/>
      <c r="AJ45" s="770"/>
      <c r="AK45" s="770"/>
      <c r="AL45" s="770"/>
      <c r="AM45" s="770"/>
      <c r="AN45" s="770"/>
      <c r="AO45" s="770"/>
      <c r="AP45" s="770"/>
      <c r="AQ45" s="770"/>
      <c r="AR45" s="770"/>
      <c r="AS45" s="770"/>
      <c r="AT45" s="770"/>
      <c r="AU45" s="770"/>
      <c r="AV45" s="770"/>
      <c r="AW45" s="770"/>
      <c r="AX45" s="770"/>
      <c r="AY45" s="770"/>
      <c r="AZ45" s="770"/>
      <c r="BA45" s="770"/>
      <c r="BB45" s="770"/>
      <c r="BC45" s="770"/>
      <c r="BD45" s="770"/>
      <c r="BE45" s="770"/>
      <c r="BF45" s="770"/>
      <c r="BG45" s="770"/>
      <c r="BH45" s="770"/>
      <c r="BI45" s="770"/>
      <c r="BJ45" s="770"/>
      <c r="BK45" s="770"/>
    </row>
    <row r="46" spans="1:63" ht="15.75">
      <c r="A46" s="770"/>
      <c r="B46" s="770"/>
      <c r="C46" s="770"/>
      <c r="D46" s="770"/>
      <c r="E46" s="770"/>
      <c r="F46" s="770"/>
      <c r="G46" s="770"/>
      <c r="H46" s="770"/>
      <c r="I46" s="770"/>
      <c r="J46" s="770"/>
      <c r="K46" s="770"/>
      <c r="L46" s="770"/>
      <c r="M46" s="770"/>
      <c r="N46" s="770"/>
      <c r="O46" s="770"/>
      <c r="P46" s="770"/>
      <c r="Q46" s="770"/>
      <c r="R46" s="770"/>
      <c r="S46" s="770"/>
      <c r="T46" s="770"/>
      <c r="U46" s="770"/>
      <c r="V46" s="770"/>
      <c r="W46" s="770"/>
      <c r="X46" s="770"/>
      <c r="Y46" s="770"/>
      <c r="Z46" s="770"/>
      <c r="AA46" s="770"/>
      <c r="AB46" s="770"/>
      <c r="AC46" s="770"/>
      <c r="AD46" s="770"/>
      <c r="AE46" s="770"/>
      <c r="AF46" s="770"/>
      <c r="AG46" s="770"/>
      <c r="AH46" s="770"/>
      <c r="AI46" s="770"/>
      <c r="AJ46" s="770"/>
      <c r="AK46" s="770"/>
      <c r="AL46" s="770"/>
      <c r="AM46" s="770"/>
      <c r="AN46" s="770"/>
      <c r="AO46" s="770"/>
      <c r="AP46" s="770"/>
      <c r="AQ46" s="770"/>
      <c r="AR46" s="770"/>
      <c r="AS46" s="770"/>
      <c r="AT46" s="770"/>
      <c r="AU46" s="770"/>
      <c r="AV46" s="770"/>
      <c r="AW46" s="770"/>
      <c r="AX46" s="770"/>
      <c r="AY46" s="770"/>
      <c r="AZ46" s="770"/>
      <c r="BA46" s="770"/>
      <c r="BB46" s="770"/>
      <c r="BC46" s="770"/>
      <c r="BD46" s="770"/>
      <c r="BE46" s="770"/>
      <c r="BF46" s="770"/>
      <c r="BG46" s="770"/>
      <c r="BH46" s="770"/>
      <c r="BI46" s="770"/>
      <c r="BJ46" s="770"/>
      <c r="BK46" s="770"/>
    </row>
    <row r="47" spans="1:63" ht="15.75">
      <c r="A47" s="770"/>
      <c r="B47" s="770"/>
      <c r="C47" s="770"/>
      <c r="D47" s="770"/>
      <c r="E47" s="770"/>
      <c r="F47" s="770"/>
      <c r="G47" s="770"/>
      <c r="H47" s="770"/>
      <c r="I47" s="770"/>
      <c r="J47" s="770"/>
      <c r="K47" s="770"/>
      <c r="L47" s="770"/>
      <c r="M47" s="770"/>
      <c r="N47" s="770"/>
      <c r="O47" s="770"/>
      <c r="P47" s="770"/>
      <c r="Q47" s="770"/>
      <c r="R47" s="770"/>
      <c r="S47" s="770"/>
      <c r="T47" s="770"/>
      <c r="U47" s="770"/>
      <c r="V47" s="770"/>
      <c r="W47" s="770"/>
      <c r="X47" s="770"/>
      <c r="Y47" s="770"/>
      <c r="Z47" s="770"/>
      <c r="AA47" s="770"/>
      <c r="AB47" s="770"/>
      <c r="AC47" s="770"/>
      <c r="AD47" s="770"/>
      <c r="AE47" s="770"/>
      <c r="AF47" s="770"/>
      <c r="AG47" s="770"/>
      <c r="AH47" s="770"/>
      <c r="AI47" s="770"/>
      <c r="AJ47" s="770"/>
      <c r="AK47" s="770"/>
      <c r="AL47" s="770"/>
      <c r="AM47" s="770"/>
      <c r="AN47" s="770"/>
      <c r="AO47" s="770"/>
      <c r="AP47" s="770"/>
      <c r="AQ47" s="770"/>
      <c r="AR47" s="770"/>
      <c r="AS47" s="770"/>
      <c r="AT47" s="770"/>
      <c r="AU47" s="770"/>
      <c r="AV47" s="770"/>
      <c r="AW47" s="770"/>
      <c r="AX47" s="770"/>
      <c r="AY47" s="770"/>
      <c r="AZ47" s="770"/>
      <c r="BA47" s="770"/>
      <c r="BB47" s="770"/>
      <c r="BC47" s="770"/>
      <c r="BD47" s="770"/>
      <c r="BE47" s="770"/>
      <c r="BF47" s="770"/>
      <c r="BG47" s="770"/>
      <c r="BH47" s="770"/>
      <c r="BI47" s="770"/>
      <c r="BJ47" s="770"/>
      <c r="BK47" s="770"/>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F33"/>
  <sheetViews>
    <sheetView zoomScaleNormal="100" workbookViewId="0">
      <selection activeCell="C7" sqref="C7"/>
    </sheetView>
  </sheetViews>
  <sheetFormatPr defaultColWidth="8.77734375" defaultRowHeight="15"/>
  <cols>
    <col min="1" max="1" width="9.77734375" style="5" customWidth="1"/>
    <col min="2" max="2" width="10.5546875" style="5" customWidth="1"/>
    <col min="3" max="3" width="8.77734375" style="5"/>
    <col min="4" max="4" width="15.109375" style="5" bestFit="1" customWidth="1"/>
    <col min="5" max="5" width="15.21875" style="5" bestFit="1" customWidth="1"/>
    <col min="6" max="16384" width="8.77734375" style="5"/>
  </cols>
  <sheetData>
    <row r="1" spans="1:6" s="11" customFormat="1" ht="15.75">
      <c r="A1" s="11" t="s">
        <v>384</v>
      </c>
    </row>
    <row r="2" spans="1:6">
      <c r="A2" s="770" t="s">
        <v>587</v>
      </c>
      <c r="B2" s="770"/>
      <c r="C2" s="770"/>
      <c r="D2" s="770"/>
      <c r="E2" s="770"/>
      <c r="F2" s="770"/>
    </row>
    <row r="4" spans="1:6">
      <c r="A4" s="231" t="s">
        <v>588</v>
      </c>
      <c r="B4" s="85"/>
      <c r="C4" s="85"/>
      <c r="D4" s="85"/>
      <c r="E4" s="85"/>
      <c r="F4" s="85"/>
    </row>
    <row r="5" spans="1:6">
      <c r="A5" s="231"/>
      <c r="B5" s="85"/>
      <c r="C5" s="85"/>
      <c r="D5" s="85"/>
      <c r="E5" s="85"/>
      <c r="F5" s="85"/>
    </row>
    <row r="6" spans="1:6">
      <c r="A6" s="85"/>
      <c r="B6" s="85"/>
      <c r="C6" s="104"/>
      <c r="D6" s="85"/>
      <c r="E6" s="85"/>
      <c r="F6" s="85"/>
    </row>
    <row r="7" spans="1:6">
      <c r="A7" s="279" t="s">
        <v>589</v>
      </c>
      <c r="B7" s="279"/>
      <c r="C7" s="439">
        <f>Basbelopp!AV92</f>
        <v>171.26</v>
      </c>
      <c r="D7" s="85"/>
      <c r="E7" s="85"/>
      <c r="F7" s="85"/>
    </row>
    <row r="8" spans="1:6">
      <c r="A8" s="279"/>
      <c r="B8" s="279"/>
      <c r="C8" s="439"/>
      <c r="D8" s="85"/>
      <c r="E8" s="85"/>
      <c r="F8" s="85" t="s">
        <v>590</v>
      </c>
    </row>
    <row r="9" spans="1:6" ht="15.75">
      <c r="A9" s="85"/>
      <c r="B9" s="85"/>
      <c r="C9" s="85"/>
      <c r="D9" s="85"/>
      <c r="E9" s="85"/>
      <c r="F9" s="426" t="s">
        <v>591</v>
      </c>
    </row>
    <row r="10" spans="1:6" ht="15.75">
      <c r="A10" s="279" t="s">
        <v>592</v>
      </c>
      <c r="B10" s="279"/>
      <c r="C10" s="285">
        <v>0.1</v>
      </c>
      <c r="D10" s="85"/>
      <c r="E10" s="85"/>
      <c r="F10" s="426" t="s">
        <v>593</v>
      </c>
    </row>
    <row r="11" spans="1:6">
      <c r="A11" s="279"/>
      <c r="B11" s="279"/>
      <c r="C11" s="285"/>
      <c r="D11" s="85"/>
      <c r="E11" s="85"/>
      <c r="F11" s="85"/>
    </row>
    <row r="12" spans="1:6">
      <c r="A12" s="85"/>
      <c r="B12" s="85"/>
      <c r="C12" s="85"/>
      <c r="D12" s="565">
        <v>2024</v>
      </c>
      <c r="E12" s="565"/>
      <c r="F12" s="85"/>
    </row>
    <row r="13" spans="1:6">
      <c r="A13" s="104" t="str">
        <f>Invånare!B5</f>
        <v>2023</v>
      </c>
      <c r="B13" s="103" t="s">
        <v>4</v>
      </c>
      <c r="C13" s="85"/>
      <c r="D13" s="103" t="s">
        <v>594</v>
      </c>
      <c r="E13" s="103"/>
      <c r="F13" s="85"/>
    </row>
    <row r="14" spans="1:6">
      <c r="A14" s="232" t="s">
        <v>92</v>
      </c>
      <c r="B14" s="233">
        <f>Invånare!B6</f>
        <v>450</v>
      </c>
      <c r="C14" s="85"/>
      <c r="D14" s="308">
        <f>ROUND($C$7*B14*$C$10,2)</f>
        <v>7706.7</v>
      </c>
      <c r="E14" s="308"/>
      <c r="F14" s="85"/>
    </row>
    <row r="15" spans="1:6">
      <c r="A15" s="104" t="s">
        <v>93</v>
      </c>
      <c r="B15" s="233">
        <f>Invånare!B7</f>
        <v>939</v>
      </c>
      <c r="C15" s="85"/>
      <c r="D15" s="308">
        <f t="shared" ref="D15:D29" si="0">ROUND($C$7*B15*$C$10,2)</f>
        <v>16081.31</v>
      </c>
      <c r="E15" s="308"/>
      <c r="F15" s="85"/>
    </row>
    <row r="16" spans="1:6">
      <c r="A16" s="104" t="s">
        <v>94</v>
      </c>
      <c r="B16" s="233">
        <f>Invånare!B8</f>
        <v>2588</v>
      </c>
      <c r="C16" s="85"/>
      <c r="D16" s="308">
        <f t="shared" si="0"/>
        <v>44322.09</v>
      </c>
      <c r="E16" s="308"/>
      <c r="F16" s="85"/>
    </row>
    <row r="17" spans="1:6">
      <c r="A17" s="196" t="s">
        <v>95</v>
      </c>
      <c r="B17" s="233">
        <f>Invånare!B9</f>
        <v>504</v>
      </c>
      <c r="C17" s="85"/>
      <c r="D17" s="308">
        <f t="shared" si="0"/>
        <v>8631.5</v>
      </c>
      <c r="E17" s="308"/>
      <c r="F17" s="85"/>
    </row>
    <row r="18" spans="1:6">
      <c r="A18" s="196" t="s">
        <v>96</v>
      </c>
      <c r="B18" s="233">
        <f>Invånare!B10</f>
        <v>507</v>
      </c>
      <c r="C18" s="85"/>
      <c r="D18" s="308">
        <f t="shared" si="0"/>
        <v>8682.8799999999992</v>
      </c>
      <c r="E18" s="308"/>
      <c r="F18" s="85"/>
    </row>
    <row r="19" spans="1:6">
      <c r="A19" s="196" t="s">
        <v>97</v>
      </c>
      <c r="B19" s="233">
        <f>Invånare!B11</f>
        <v>1628</v>
      </c>
      <c r="C19" s="85"/>
      <c r="D19" s="308">
        <f t="shared" si="0"/>
        <v>27881.13</v>
      </c>
      <c r="E19" s="308"/>
      <c r="F19" s="85"/>
    </row>
    <row r="20" spans="1:6">
      <c r="A20" s="196" t="s">
        <v>98</v>
      </c>
      <c r="B20" s="233">
        <f>Invånare!B12</f>
        <v>5610</v>
      </c>
      <c r="C20" s="85"/>
      <c r="D20" s="308">
        <f t="shared" si="0"/>
        <v>96076.86</v>
      </c>
      <c r="E20" s="308"/>
      <c r="F20" s="85"/>
    </row>
    <row r="21" spans="1:6">
      <c r="A21" s="196" t="s">
        <v>99</v>
      </c>
      <c r="B21" s="233">
        <f>Invånare!B13</f>
        <v>306</v>
      </c>
      <c r="C21" s="85"/>
      <c r="D21" s="308">
        <f t="shared" si="0"/>
        <v>5240.5600000000004</v>
      </c>
      <c r="E21" s="308"/>
      <c r="F21" s="85"/>
    </row>
    <row r="22" spans="1:6">
      <c r="A22" s="196" t="s">
        <v>100</v>
      </c>
      <c r="B22" s="233">
        <f>Invånare!B14</f>
        <v>223</v>
      </c>
      <c r="C22" s="85"/>
      <c r="D22" s="308">
        <f t="shared" si="0"/>
        <v>3819.1</v>
      </c>
      <c r="E22" s="308"/>
      <c r="F22" s="85"/>
    </row>
    <row r="23" spans="1:6">
      <c r="A23" s="196" t="s">
        <v>101</v>
      </c>
      <c r="B23" s="233">
        <f>Invånare!B15</f>
        <v>2131</v>
      </c>
      <c r="C23" s="85"/>
      <c r="D23" s="308">
        <f t="shared" si="0"/>
        <v>36495.51</v>
      </c>
      <c r="E23" s="308"/>
      <c r="F23" s="85"/>
    </row>
    <row r="24" spans="1:6">
      <c r="A24" s="196" t="s">
        <v>102</v>
      </c>
      <c r="B24" s="233">
        <f>Invånare!B16</f>
        <v>360</v>
      </c>
      <c r="C24" s="85"/>
      <c r="D24" s="308">
        <f t="shared" si="0"/>
        <v>6165.36</v>
      </c>
      <c r="E24" s="308"/>
      <c r="F24" s="85"/>
    </row>
    <row r="25" spans="1:6">
      <c r="A25" s="196" t="s">
        <v>103</v>
      </c>
      <c r="B25" s="233">
        <f>Invånare!B17</f>
        <v>1793</v>
      </c>
      <c r="C25" s="85"/>
      <c r="D25" s="308">
        <f t="shared" si="0"/>
        <v>30706.92</v>
      </c>
      <c r="E25" s="308"/>
      <c r="F25" s="85"/>
    </row>
    <row r="26" spans="1:6">
      <c r="A26" s="196" t="s">
        <v>104</v>
      </c>
      <c r="B26" s="233">
        <f>Invånare!B18</f>
        <v>111</v>
      </c>
      <c r="C26" s="85"/>
      <c r="D26" s="308">
        <f t="shared" si="0"/>
        <v>1900.99</v>
      </c>
      <c r="E26" s="308"/>
      <c r="F26" s="85"/>
    </row>
    <row r="27" spans="1:6">
      <c r="A27" s="196" t="s">
        <v>105</v>
      </c>
      <c r="B27" s="233">
        <f>Invånare!B19</f>
        <v>1001</v>
      </c>
      <c r="C27" s="85"/>
      <c r="D27" s="308">
        <f t="shared" si="0"/>
        <v>17143.13</v>
      </c>
      <c r="E27" s="308"/>
      <c r="F27" s="85"/>
    </row>
    <row r="28" spans="1:6">
      <c r="A28" s="196" t="s">
        <v>106</v>
      </c>
      <c r="B28" s="233">
        <f>Invånare!B20</f>
        <v>451</v>
      </c>
      <c r="C28" s="85"/>
      <c r="D28" s="308">
        <f t="shared" si="0"/>
        <v>7723.83</v>
      </c>
      <c r="E28" s="308"/>
      <c r="F28" s="85"/>
    </row>
    <row r="29" spans="1:6">
      <c r="A29" s="104" t="s">
        <v>107</v>
      </c>
      <c r="B29" s="233">
        <f>Invånare!B21</f>
        <v>11757</v>
      </c>
      <c r="C29" s="85"/>
      <c r="D29" s="308">
        <f t="shared" si="0"/>
        <v>201350.38</v>
      </c>
      <c r="E29" s="308"/>
      <c r="F29" s="85"/>
    </row>
    <row r="30" spans="1:6">
      <c r="A30" s="197" t="s">
        <v>108</v>
      </c>
      <c r="B30" s="234">
        <f>SUM(B14:B29)</f>
        <v>30359</v>
      </c>
      <c r="C30" s="104"/>
      <c r="D30" s="309">
        <f>SUM(D14:D29)</f>
        <v>519928.25</v>
      </c>
      <c r="E30" s="309"/>
      <c r="F30" s="85"/>
    </row>
    <row r="31" spans="1:6" ht="15.75" thickBot="1">
      <c r="A31" s="85"/>
      <c r="B31" s="85"/>
      <c r="C31" s="85"/>
      <c r="D31" s="85"/>
      <c r="E31" s="85"/>
      <c r="F31" s="85"/>
    </row>
    <row r="32" spans="1:6" ht="16.5" thickTop="1" thickBot="1">
      <c r="A32" s="85"/>
      <c r="B32" s="85"/>
      <c r="C32" s="85"/>
      <c r="D32" s="101">
        <f>E30-'Kultur&amp;Medis'!C22</f>
        <v>0</v>
      </c>
      <c r="E32" s="101">
        <f>D30-'Kultur&amp;Medis'!B22</f>
        <v>0</v>
      </c>
      <c r="F32" s="85"/>
    </row>
    <row r="33" spans="1:6" ht="15.75" thickTop="1">
      <c r="A33" s="85"/>
      <c r="B33" s="85"/>
      <c r="C33" s="85"/>
      <c r="D33" s="85"/>
      <c r="E33" s="85"/>
      <c r="F33" s="85"/>
    </row>
  </sheetData>
  <hyperlinks>
    <hyperlink ref="F9" r:id="rId1" xr:uid="{00000000-0004-0000-1600-000000000000}"/>
    <hyperlink ref="F10" r:id="rId2" xr:uid="{00000000-0004-0000-1600-000001000000}"/>
  </hyperlinks>
  <pageMargins left="0.7" right="0.7" top="0.75" bottom="0.75" header="0.3" footer="0.3"/>
  <pageSetup paperSize="9" orientation="landscape"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152"/>
  <sheetViews>
    <sheetView zoomScale="85" zoomScaleNormal="100" workbookViewId="0">
      <selection activeCell="M67" sqref="M67"/>
    </sheetView>
  </sheetViews>
  <sheetFormatPr defaultColWidth="8.77734375" defaultRowHeight="15"/>
  <cols>
    <col min="1" max="1" width="11.77734375" style="18" customWidth="1"/>
    <col min="2" max="2" width="8.77734375" style="18"/>
    <col min="3" max="3" width="8.77734375" style="18" customWidth="1"/>
    <col min="4" max="7" width="8.77734375" style="18"/>
    <col min="8" max="8" width="6.77734375" style="18" customWidth="1"/>
    <col min="9" max="11" width="8.77734375" style="18"/>
    <col min="12" max="12" width="8.21875" style="18" customWidth="1"/>
    <col min="13" max="13" width="6.5546875" style="18" customWidth="1"/>
    <col min="14" max="14" width="4.77734375" style="18" customWidth="1"/>
    <col min="15" max="16384" width="8.77734375" style="18"/>
  </cols>
  <sheetData>
    <row r="1" spans="1:6" ht="15.75">
      <c r="A1" s="11" t="s">
        <v>595</v>
      </c>
      <c r="B1" s="770"/>
      <c r="C1" s="770"/>
      <c r="D1" s="770"/>
      <c r="E1" s="770"/>
      <c r="F1" s="770"/>
    </row>
    <row r="2" spans="1:6" ht="15.75">
      <c r="A2" s="462" t="s">
        <v>596</v>
      </c>
      <c r="B2" s="20" t="s">
        <v>597</v>
      </c>
      <c r="C2" s="300"/>
      <c r="D2" s="770"/>
      <c r="E2" s="770"/>
      <c r="F2" s="770"/>
    </row>
    <row r="3" spans="1:6">
      <c r="A3" s="19"/>
      <c r="B3" s="20"/>
      <c r="C3" s="770"/>
      <c r="D3" s="770"/>
      <c r="E3" s="770"/>
      <c r="F3" s="770"/>
    </row>
    <row r="4" spans="1:6">
      <c r="A4" s="7" t="s">
        <v>598</v>
      </c>
      <c r="B4" s="24"/>
      <c r="C4" s="770"/>
      <c r="D4" s="770"/>
      <c r="E4" s="7" t="s">
        <v>121</v>
      </c>
      <c r="F4" s="25" t="s">
        <v>530</v>
      </c>
    </row>
    <row r="5" spans="1:6">
      <c r="A5" s="99">
        <v>42736</v>
      </c>
      <c r="B5" s="314" t="s">
        <v>199</v>
      </c>
      <c r="C5" s="85"/>
      <c r="D5" s="85"/>
      <c r="E5" s="99">
        <v>42736</v>
      </c>
      <c r="F5" s="314" t="s">
        <v>199</v>
      </c>
    </row>
    <row r="6" spans="1:6">
      <c r="A6" s="95" t="s">
        <v>92</v>
      </c>
      <c r="B6" s="93">
        <v>450</v>
      </c>
      <c r="C6" s="85"/>
      <c r="D6" s="85"/>
      <c r="E6" s="95" t="s">
        <v>92</v>
      </c>
      <c r="F6" s="312">
        <v>34</v>
      </c>
    </row>
    <row r="7" spans="1:6">
      <c r="A7" s="95" t="s">
        <v>93</v>
      </c>
      <c r="B7" s="93">
        <v>939</v>
      </c>
      <c r="C7" s="85"/>
      <c r="D7" s="85"/>
      <c r="E7" s="95" t="s">
        <v>93</v>
      </c>
      <c r="F7" s="312">
        <v>90</v>
      </c>
    </row>
    <row r="8" spans="1:6">
      <c r="A8" s="95" t="s">
        <v>94</v>
      </c>
      <c r="B8" s="93">
        <v>2588</v>
      </c>
      <c r="C8" s="85"/>
      <c r="D8" s="85"/>
      <c r="E8" s="95" t="s">
        <v>94</v>
      </c>
      <c r="F8" s="312">
        <v>324</v>
      </c>
    </row>
    <row r="9" spans="1:6">
      <c r="A9" s="95" t="s">
        <v>95</v>
      </c>
      <c r="B9" s="93">
        <v>504</v>
      </c>
      <c r="C9" s="85"/>
      <c r="D9" s="85"/>
      <c r="E9" s="95" t="s">
        <v>95</v>
      </c>
      <c r="F9" s="312">
        <v>49</v>
      </c>
    </row>
    <row r="10" spans="1:6">
      <c r="A10" s="95" t="s">
        <v>96</v>
      </c>
      <c r="B10" s="93">
        <v>507</v>
      </c>
      <c r="C10" s="85"/>
      <c r="D10" s="85"/>
      <c r="E10" s="95" t="s">
        <v>96</v>
      </c>
      <c r="F10" s="312">
        <v>55</v>
      </c>
    </row>
    <row r="11" spans="1:6">
      <c r="A11" s="95" t="s">
        <v>97</v>
      </c>
      <c r="B11" s="93">
        <v>1628</v>
      </c>
      <c r="C11" s="85"/>
      <c r="D11" s="85"/>
      <c r="E11" s="95" t="s">
        <v>97</v>
      </c>
      <c r="F11" s="312">
        <v>194</v>
      </c>
    </row>
    <row r="12" spans="1:6">
      <c r="A12" s="95" t="s">
        <v>98</v>
      </c>
      <c r="B12" s="93">
        <v>5610</v>
      </c>
      <c r="C12" s="85"/>
      <c r="D12" s="85"/>
      <c r="E12" s="95" t="s">
        <v>98</v>
      </c>
      <c r="F12" s="312">
        <v>778</v>
      </c>
    </row>
    <row r="13" spans="1:6">
      <c r="A13" s="95" t="s">
        <v>99</v>
      </c>
      <c r="B13" s="93">
        <v>306</v>
      </c>
      <c r="C13" s="85"/>
      <c r="D13" s="85"/>
      <c r="E13" s="95" t="s">
        <v>99</v>
      </c>
      <c r="F13" s="312">
        <v>19</v>
      </c>
    </row>
    <row r="14" spans="1:6">
      <c r="A14" s="95" t="s">
        <v>100</v>
      </c>
      <c r="B14" s="93">
        <v>223</v>
      </c>
      <c r="C14" s="85"/>
      <c r="D14" s="85"/>
      <c r="E14" s="95" t="s">
        <v>100</v>
      </c>
      <c r="F14" s="312">
        <v>4</v>
      </c>
    </row>
    <row r="15" spans="1:6">
      <c r="A15" s="95" t="s">
        <v>101</v>
      </c>
      <c r="B15" s="93">
        <v>2131</v>
      </c>
      <c r="C15" s="85"/>
      <c r="D15" s="85"/>
      <c r="E15" s="95" t="s">
        <v>101</v>
      </c>
      <c r="F15" s="312">
        <v>313</v>
      </c>
    </row>
    <row r="16" spans="1:6">
      <c r="A16" s="95" t="s">
        <v>102</v>
      </c>
      <c r="B16" s="93">
        <v>360</v>
      </c>
      <c r="C16" s="85"/>
      <c r="D16" s="85"/>
      <c r="E16" s="95" t="s">
        <v>102</v>
      </c>
      <c r="F16" s="312">
        <v>43</v>
      </c>
    </row>
    <row r="17" spans="1:20">
      <c r="A17" s="95" t="s">
        <v>103</v>
      </c>
      <c r="B17" s="93">
        <v>1793</v>
      </c>
      <c r="C17" s="85"/>
      <c r="D17" s="85"/>
      <c r="E17" s="95" t="s">
        <v>103</v>
      </c>
      <c r="F17" s="312">
        <v>229</v>
      </c>
      <c r="G17" s="770"/>
      <c r="H17" s="770"/>
      <c r="I17" s="776"/>
      <c r="J17" s="770"/>
      <c r="K17" s="770"/>
      <c r="L17" s="770"/>
      <c r="M17" s="770"/>
      <c r="N17" s="770"/>
      <c r="O17" s="770"/>
      <c r="P17" s="770"/>
      <c r="Q17" s="770"/>
      <c r="R17" s="770"/>
      <c r="S17" s="770"/>
      <c r="T17" s="770"/>
    </row>
    <row r="18" spans="1:20">
      <c r="A18" s="95" t="s">
        <v>104</v>
      </c>
      <c r="B18" s="93">
        <v>111</v>
      </c>
      <c r="C18" s="85"/>
      <c r="D18" s="85"/>
      <c r="E18" s="95" t="s">
        <v>104</v>
      </c>
      <c r="F18" s="312">
        <v>12</v>
      </c>
      <c r="G18" s="770"/>
      <c r="H18" s="770"/>
      <c r="I18" s="770"/>
      <c r="J18" s="770"/>
      <c r="K18" s="770"/>
      <c r="L18" s="770"/>
      <c r="M18" s="770"/>
      <c r="N18" s="770"/>
      <c r="O18" s="770"/>
      <c r="P18" s="770"/>
      <c r="Q18" s="770"/>
      <c r="R18" s="770"/>
      <c r="S18" s="770"/>
      <c r="T18" s="770"/>
    </row>
    <row r="19" spans="1:20">
      <c r="A19" s="95" t="s">
        <v>105</v>
      </c>
      <c r="B19" s="93">
        <v>1001</v>
      </c>
      <c r="C19" s="85"/>
      <c r="D19" s="85"/>
      <c r="E19" s="95" t="s">
        <v>105</v>
      </c>
      <c r="F19" s="312">
        <v>112</v>
      </c>
      <c r="G19" s="770"/>
      <c r="H19" s="770"/>
      <c r="I19" s="770"/>
      <c r="J19" s="770"/>
      <c r="K19" s="770"/>
      <c r="L19" s="770"/>
      <c r="M19" s="770"/>
      <c r="N19" s="770"/>
      <c r="O19" s="770"/>
      <c r="P19" s="770"/>
      <c r="Q19" s="770"/>
      <c r="R19" s="770"/>
      <c r="S19" s="770"/>
      <c r="T19" s="770"/>
    </row>
    <row r="20" spans="1:20">
      <c r="A20" s="95" t="s">
        <v>106</v>
      </c>
      <c r="B20" s="93">
        <v>451</v>
      </c>
      <c r="C20" s="85"/>
      <c r="D20" s="85"/>
      <c r="E20" s="95" t="s">
        <v>106</v>
      </c>
      <c r="F20" s="312">
        <v>42</v>
      </c>
      <c r="G20" s="770"/>
      <c r="H20" s="770"/>
      <c r="I20" s="770"/>
      <c r="J20" s="770"/>
      <c r="K20" s="770"/>
      <c r="L20" s="770"/>
      <c r="M20" s="770"/>
      <c r="N20" s="770"/>
      <c r="O20" s="770"/>
      <c r="P20" s="770"/>
      <c r="Q20" s="770"/>
      <c r="R20" s="770"/>
      <c r="S20" s="770"/>
      <c r="T20" s="770"/>
    </row>
    <row r="21" spans="1:20">
      <c r="A21" s="96" t="s">
        <v>107</v>
      </c>
      <c r="B21" s="94">
        <v>11757</v>
      </c>
      <c r="C21" s="85"/>
      <c r="D21" s="85"/>
      <c r="E21" s="96" t="s">
        <v>107</v>
      </c>
      <c r="F21" s="313">
        <v>1231</v>
      </c>
      <c r="G21" s="770"/>
      <c r="H21" s="770"/>
      <c r="I21" s="770"/>
      <c r="J21" s="770"/>
      <c r="K21" s="770"/>
      <c r="L21" s="770"/>
      <c r="M21" s="770"/>
      <c r="N21" s="770"/>
      <c r="O21" s="770"/>
      <c r="P21" s="770"/>
      <c r="Q21" s="770"/>
      <c r="R21" s="770"/>
      <c r="S21" s="770"/>
      <c r="T21" s="770"/>
    </row>
    <row r="22" spans="1:20">
      <c r="A22" s="95" t="s">
        <v>108</v>
      </c>
      <c r="B22" s="97">
        <f>SUM(B6:B21)</f>
        <v>30359</v>
      </c>
      <c r="C22" s="85"/>
      <c r="D22" s="85"/>
      <c r="E22" s="95" t="s">
        <v>108</v>
      </c>
      <c r="F22" s="98">
        <f>SUM(F6:F21)</f>
        <v>3529</v>
      </c>
      <c r="G22" s="770"/>
      <c r="H22" s="770"/>
      <c r="I22" s="770"/>
      <c r="J22" s="770"/>
      <c r="K22" s="770"/>
      <c r="L22" s="770"/>
      <c r="M22" s="770"/>
      <c r="N22" s="770"/>
      <c r="O22" s="770"/>
      <c r="P22" s="770"/>
      <c r="Q22" s="770"/>
      <c r="R22" s="770"/>
      <c r="S22" s="770"/>
      <c r="T22" s="770"/>
    </row>
    <row r="23" spans="1:20">
      <c r="A23" s="770"/>
      <c r="B23" s="770"/>
      <c r="C23" s="770"/>
      <c r="D23" s="770"/>
      <c r="E23" s="770"/>
      <c r="F23" s="770"/>
      <c r="G23" s="770"/>
      <c r="H23" s="770"/>
      <c r="I23" s="770"/>
      <c r="J23" s="770"/>
      <c r="K23" s="770"/>
      <c r="L23" s="770"/>
      <c r="M23" s="770"/>
      <c r="N23" s="770"/>
      <c r="O23" s="770"/>
      <c r="P23" s="770"/>
      <c r="Q23" s="770"/>
      <c r="R23" s="776"/>
      <c r="S23" s="770"/>
      <c r="T23" s="26"/>
    </row>
    <row r="25" spans="1:20" ht="15.75">
      <c r="A25" s="7" t="s">
        <v>599</v>
      </c>
      <c r="B25" s="784"/>
      <c r="C25" s="784"/>
      <c r="D25" s="784"/>
      <c r="E25" s="784"/>
      <c r="F25" s="784"/>
      <c r="G25"/>
      <c r="H25" s="770"/>
      <c r="I25" s="770"/>
      <c r="J25" s="770"/>
      <c r="K25" s="770"/>
      <c r="L25" s="770"/>
      <c r="M25" s="770"/>
      <c r="N25" s="770"/>
      <c r="O25" s="770"/>
      <c r="P25" s="770"/>
      <c r="Q25" s="770"/>
      <c r="R25" s="770"/>
      <c r="S25" s="770"/>
      <c r="T25" s="770"/>
    </row>
    <row r="26" spans="1:20" ht="15.75" thickBot="1">
      <c r="A26" s="318" t="s">
        <v>600</v>
      </c>
      <c r="B26" s="100" t="s">
        <v>400</v>
      </c>
      <c r="C26" s="100" t="s">
        <v>404</v>
      </c>
      <c r="D26" s="100" t="s">
        <v>401</v>
      </c>
      <c r="E26" s="100" t="s">
        <v>402</v>
      </c>
      <c r="F26" s="100" t="s">
        <v>403</v>
      </c>
      <c r="G26" s="770"/>
      <c r="H26" s="770"/>
      <c r="I26" s="770"/>
      <c r="J26" s="770"/>
      <c r="K26" s="770"/>
      <c r="L26" s="85" t="s">
        <v>540</v>
      </c>
      <c r="M26" s="85"/>
      <c r="N26" s="85"/>
      <c r="O26" s="770"/>
      <c r="P26" s="770"/>
      <c r="Q26" s="770"/>
      <c r="R26" s="770"/>
      <c r="S26" s="770"/>
      <c r="T26" s="770"/>
    </row>
    <row r="27" spans="1:20" ht="16.5" thickTop="1" thickBot="1">
      <c r="A27" s="95" t="s">
        <v>92</v>
      </c>
      <c r="B27" s="316">
        <v>12</v>
      </c>
      <c r="C27" s="316">
        <v>283</v>
      </c>
      <c r="D27" s="316">
        <v>83</v>
      </c>
      <c r="E27" s="316">
        <v>56</v>
      </c>
      <c r="F27" s="316">
        <v>16</v>
      </c>
      <c r="G27" s="770"/>
      <c r="H27" s="770"/>
      <c r="I27" s="770"/>
      <c r="J27" s="770"/>
      <c r="K27" s="770"/>
      <c r="L27" s="101">
        <f t="shared" ref="L27:L42" si="0">SUM(B27:F27)-B6</f>
        <v>0</v>
      </c>
      <c r="M27" s="85"/>
      <c r="N27" s="85"/>
      <c r="O27" s="770"/>
      <c r="P27" s="770"/>
      <c r="Q27" s="770"/>
      <c r="R27" s="770"/>
      <c r="S27" s="770"/>
      <c r="T27" s="770"/>
    </row>
    <row r="28" spans="1:20" ht="16.5" thickTop="1" thickBot="1">
      <c r="A28" s="95" t="s">
        <v>93</v>
      </c>
      <c r="B28" s="316">
        <v>56</v>
      </c>
      <c r="C28" s="316">
        <v>612</v>
      </c>
      <c r="D28" s="316">
        <v>146</v>
      </c>
      <c r="E28" s="316">
        <v>89</v>
      </c>
      <c r="F28" s="316">
        <v>36</v>
      </c>
      <c r="G28" s="770"/>
      <c r="H28" s="770"/>
      <c r="I28" s="770"/>
      <c r="J28" s="770"/>
      <c r="K28" s="770"/>
      <c r="L28" s="101">
        <f t="shared" si="0"/>
        <v>0</v>
      </c>
      <c r="M28" s="85"/>
      <c r="N28" s="85"/>
      <c r="O28" s="770"/>
      <c r="P28" s="770"/>
      <c r="Q28" s="770"/>
      <c r="R28" s="770"/>
      <c r="S28" s="770"/>
      <c r="T28" s="770"/>
    </row>
    <row r="29" spans="1:20" ht="16.5" thickTop="1" thickBot="1">
      <c r="A29" s="95" t="s">
        <v>94</v>
      </c>
      <c r="B29" s="316">
        <v>190</v>
      </c>
      <c r="C29" s="316">
        <v>1810</v>
      </c>
      <c r="D29" s="316">
        <v>310</v>
      </c>
      <c r="E29" s="316">
        <v>217</v>
      </c>
      <c r="F29" s="316">
        <v>61</v>
      </c>
      <c r="G29" s="770"/>
      <c r="H29" s="770"/>
      <c r="I29" s="770"/>
      <c r="J29" s="770"/>
      <c r="K29" s="770"/>
      <c r="L29" s="101">
        <f t="shared" si="0"/>
        <v>0</v>
      </c>
      <c r="M29" s="85"/>
      <c r="N29" s="85"/>
      <c r="O29" s="770"/>
      <c r="P29" s="770"/>
      <c r="Q29" s="770"/>
      <c r="R29" s="770"/>
      <c r="S29" s="770"/>
      <c r="T29" s="770"/>
    </row>
    <row r="30" spans="1:20" ht="16.5" thickTop="1" thickBot="1">
      <c r="A30" s="95" t="s">
        <v>95</v>
      </c>
      <c r="B30" s="316">
        <v>38</v>
      </c>
      <c r="C30" s="316">
        <v>304</v>
      </c>
      <c r="D30" s="316">
        <v>83</v>
      </c>
      <c r="E30" s="316">
        <v>52</v>
      </c>
      <c r="F30" s="316">
        <v>27</v>
      </c>
      <c r="G30" s="770"/>
      <c r="H30" s="770"/>
      <c r="I30" s="770"/>
      <c r="J30" s="770"/>
      <c r="K30" s="770"/>
      <c r="L30" s="101">
        <f t="shared" si="0"/>
        <v>0</v>
      </c>
      <c r="M30" s="85"/>
      <c r="N30" s="85"/>
      <c r="O30" s="770"/>
      <c r="P30" s="770"/>
      <c r="Q30" s="770"/>
      <c r="R30" s="770"/>
      <c r="S30" s="770"/>
      <c r="T30" s="770"/>
    </row>
    <row r="31" spans="1:20" ht="16.5" thickTop="1" thickBot="1">
      <c r="A31" s="95" t="s">
        <v>96</v>
      </c>
      <c r="B31" s="316">
        <v>37</v>
      </c>
      <c r="C31" s="316">
        <v>348</v>
      </c>
      <c r="D31" s="316">
        <v>55</v>
      </c>
      <c r="E31" s="316">
        <v>46</v>
      </c>
      <c r="F31" s="316">
        <v>21</v>
      </c>
      <c r="G31" s="770"/>
      <c r="H31" s="770"/>
      <c r="I31" s="770"/>
      <c r="J31" s="770"/>
      <c r="K31" s="770"/>
      <c r="L31" s="101">
        <f t="shared" si="0"/>
        <v>0</v>
      </c>
      <c r="M31" s="85"/>
      <c r="N31" s="85"/>
      <c r="O31" s="770"/>
      <c r="P31" s="770"/>
      <c r="Q31" s="770"/>
      <c r="R31" s="770"/>
      <c r="S31" s="770"/>
      <c r="T31" s="770"/>
    </row>
    <row r="32" spans="1:20" ht="16.5" thickTop="1" thickBot="1">
      <c r="A32" s="95" t="s">
        <v>97</v>
      </c>
      <c r="B32" s="316">
        <v>108</v>
      </c>
      <c r="C32" s="316">
        <v>1151</v>
      </c>
      <c r="D32" s="316">
        <v>185</v>
      </c>
      <c r="E32" s="316">
        <v>138</v>
      </c>
      <c r="F32" s="316">
        <v>46</v>
      </c>
      <c r="G32" s="770"/>
      <c r="H32" s="770"/>
      <c r="I32" s="770"/>
      <c r="J32" s="770"/>
      <c r="K32" s="770"/>
      <c r="L32" s="101">
        <f t="shared" si="0"/>
        <v>0</v>
      </c>
      <c r="M32" s="85"/>
      <c r="N32" s="85"/>
      <c r="O32" s="770"/>
      <c r="P32" s="770"/>
      <c r="Q32" s="770"/>
      <c r="R32" s="770"/>
      <c r="S32" s="770"/>
      <c r="T32" s="770"/>
    </row>
    <row r="33" spans="1:16" ht="16.5" thickTop="1" thickBot="1">
      <c r="A33" s="95" t="s">
        <v>98</v>
      </c>
      <c r="B33" s="316">
        <v>535</v>
      </c>
      <c r="C33" s="316">
        <v>4202</v>
      </c>
      <c r="D33" s="316">
        <v>503</v>
      </c>
      <c r="E33" s="316">
        <v>288</v>
      </c>
      <c r="F33" s="316">
        <v>82</v>
      </c>
      <c r="G33" s="770"/>
      <c r="H33" s="770"/>
      <c r="I33" s="770"/>
      <c r="J33" s="770"/>
      <c r="K33" s="770"/>
      <c r="L33" s="101">
        <f t="shared" si="0"/>
        <v>0</v>
      </c>
      <c r="M33" s="85"/>
      <c r="N33" s="85"/>
      <c r="O33" s="770"/>
      <c r="P33" s="770"/>
    </row>
    <row r="34" spans="1:16" ht="16.5" thickTop="1" thickBot="1">
      <c r="A34" s="95" t="s">
        <v>99</v>
      </c>
      <c r="B34" s="316">
        <v>15</v>
      </c>
      <c r="C34" s="316">
        <v>165</v>
      </c>
      <c r="D34" s="316">
        <v>70</v>
      </c>
      <c r="E34" s="316">
        <v>31</v>
      </c>
      <c r="F34" s="316">
        <v>25</v>
      </c>
      <c r="G34" s="770"/>
      <c r="H34" s="770"/>
      <c r="I34" s="770"/>
      <c r="J34" s="770"/>
      <c r="K34" s="770"/>
      <c r="L34" s="101">
        <f t="shared" si="0"/>
        <v>0</v>
      </c>
      <c r="M34" s="85"/>
      <c r="N34" s="85"/>
      <c r="O34" s="770"/>
      <c r="P34" s="770"/>
    </row>
    <row r="35" spans="1:16" ht="16.5" thickTop="1" thickBot="1">
      <c r="A35" s="95" t="s">
        <v>100</v>
      </c>
      <c r="B35" s="316">
        <v>6</v>
      </c>
      <c r="C35" s="316">
        <v>134</v>
      </c>
      <c r="D35" s="316">
        <v>35</v>
      </c>
      <c r="E35" s="316">
        <v>35</v>
      </c>
      <c r="F35" s="316">
        <v>13</v>
      </c>
      <c r="G35" s="770"/>
      <c r="H35" s="770"/>
      <c r="I35" s="770"/>
      <c r="J35" s="770"/>
      <c r="K35" s="770"/>
      <c r="L35" s="101">
        <f t="shared" si="0"/>
        <v>0</v>
      </c>
      <c r="M35" s="85"/>
      <c r="N35" s="85"/>
      <c r="O35" s="770"/>
      <c r="P35" s="770"/>
    </row>
    <row r="36" spans="1:16" ht="16.5" thickTop="1" thickBot="1">
      <c r="A36" s="95" t="s">
        <v>101</v>
      </c>
      <c r="B36" s="316">
        <v>204</v>
      </c>
      <c r="C36" s="316">
        <v>1512</v>
      </c>
      <c r="D36" s="316">
        <v>230</v>
      </c>
      <c r="E36" s="316">
        <v>149</v>
      </c>
      <c r="F36" s="316">
        <v>36</v>
      </c>
      <c r="G36" s="770"/>
      <c r="H36" s="770"/>
      <c r="I36" s="770"/>
      <c r="J36" s="770"/>
      <c r="K36" s="770"/>
      <c r="L36" s="101">
        <f t="shared" si="0"/>
        <v>0</v>
      </c>
      <c r="M36" s="85"/>
      <c r="N36" s="85"/>
      <c r="O36" s="770"/>
      <c r="P36" s="770"/>
    </row>
    <row r="37" spans="1:16" ht="16.5" thickTop="1" thickBot="1">
      <c r="A37" s="95" t="s">
        <v>102</v>
      </c>
      <c r="B37" s="316">
        <v>15</v>
      </c>
      <c r="C37" s="316">
        <v>240</v>
      </c>
      <c r="D37" s="316">
        <v>49</v>
      </c>
      <c r="E37" s="316">
        <v>43</v>
      </c>
      <c r="F37" s="316">
        <v>13</v>
      </c>
      <c r="G37" s="770"/>
      <c r="H37" s="770"/>
      <c r="I37" s="770"/>
      <c r="J37" s="770"/>
      <c r="K37" s="770"/>
      <c r="L37" s="101">
        <f t="shared" si="0"/>
        <v>0</v>
      </c>
      <c r="M37" s="85"/>
      <c r="N37" s="85"/>
      <c r="O37" s="770"/>
      <c r="P37" s="770"/>
    </row>
    <row r="38" spans="1:16" ht="16.5" thickTop="1" thickBot="1">
      <c r="A38" s="95" t="s">
        <v>103</v>
      </c>
      <c r="B38" s="316">
        <v>115</v>
      </c>
      <c r="C38" s="316">
        <v>1205</v>
      </c>
      <c r="D38" s="316">
        <v>251</v>
      </c>
      <c r="E38" s="316">
        <v>142</v>
      </c>
      <c r="F38" s="316">
        <v>80</v>
      </c>
      <c r="G38" s="770"/>
      <c r="H38" s="770"/>
      <c r="I38" s="770"/>
      <c r="J38" s="770"/>
      <c r="K38" s="770"/>
      <c r="L38" s="101">
        <f t="shared" si="0"/>
        <v>0</v>
      </c>
      <c r="M38" s="85"/>
      <c r="N38" s="85"/>
      <c r="O38" s="770"/>
      <c r="P38" s="770"/>
    </row>
    <row r="39" spans="1:16" ht="16.5" thickTop="1" thickBot="1">
      <c r="A39" s="95" t="s">
        <v>104</v>
      </c>
      <c r="B39" s="317">
        <v>11</v>
      </c>
      <c r="C39" s="316">
        <v>62</v>
      </c>
      <c r="D39" s="316">
        <v>20</v>
      </c>
      <c r="E39" s="316">
        <v>14</v>
      </c>
      <c r="F39" s="316">
        <v>4</v>
      </c>
      <c r="G39" s="770"/>
      <c r="H39" s="770"/>
      <c r="I39" s="770"/>
      <c r="J39" s="770"/>
      <c r="K39" s="770"/>
      <c r="L39" s="101">
        <f t="shared" si="0"/>
        <v>0</v>
      </c>
      <c r="M39" s="85"/>
      <c r="N39" s="85"/>
      <c r="O39" s="770"/>
      <c r="P39" s="770"/>
    </row>
    <row r="40" spans="1:16" ht="16.5" thickTop="1" thickBot="1">
      <c r="A40" s="95" t="s">
        <v>105</v>
      </c>
      <c r="B40" s="316">
        <v>64</v>
      </c>
      <c r="C40" s="316">
        <v>656</v>
      </c>
      <c r="D40" s="316">
        <v>155</v>
      </c>
      <c r="E40" s="316">
        <v>97</v>
      </c>
      <c r="F40" s="316">
        <v>29</v>
      </c>
      <c r="G40" s="770"/>
      <c r="H40" s="770"/>
      <c r="I40" s="770"/>
      <c r="J40" s="770"/>
      <c r="K40" s="770"/>
      <c r="L40" s="101">
        <f t="shared" si="0"/>
        <v>0</v>
      </c>
      <c r="M40" s="85"/>
      <c r="N40" s="85"/>
      <c r="O40" s="770"/>
      <c r="P40" s="770"/>
    </row>
    <row r="41" spans="1:16" ht="16.5" thickTop="1" thickBot="1">
      <c r="A41" s="95" t="s">
        <v>106</v>
      </c>
      <c r="B41" s="316">
        <v>46</v>
      </c>
      <c r="C41" s="316">
        <v>281</v>
      </c>
      <c r="D41" s="316">
        <v>64</v>
      </c>
      <c r="E41" s="316">
        <v>34</v>
      </c>
      <c r="F41" s="316">
        <v>26</v>
      </c>
      <c r="G41" s="770"/>
      <c r="H41" s="770"/>
      <c r="I41" s="770"/>
      <c r="J41" s="770"/>
      <c r="K41" s="770"/>
      <c r="L41" s="101">
        <f t="shared" si="0"/>
        <v>0</v>
      </c>
      <c r="M41" s="85"/>
      <c r="N41" s="85"/>
      <c r="O41" s="770"/>
      <c r="P41" s="770"/>
    </row>
    <row r="42" spans="1:16" ht="16.5" thickTop="1" thickBot="1">
      <c r="A42" s="96" t="s">
        <v>107</v>
      </c>
      <c r="B42" s="315">
        <v>653</v>
      </c>
      <c r="C42" s="315">
        <v>8049</v>
      </c>
      <c r="D42" s="315">
        <v>1564</v>
      </c>
      <c r="E42" s="315">
        <v>1095</v>
      </c>
      <c r="F42" s="315">
        <v>396</v>
      </c>
      <c r="G42" s="770"/>
      <c r="H42" s="770"/>
      <c r="I42" s="770"/>
      <c r="J42" s="770"/>
      <c r="K42" s="770"/>
      <c r="L42" s="102">
        <f t="shared" si="0"/>
        <v>0</v>
      </c>
      <c r="M42" s="85"/>
      <c r="N42" s="85"/>
      <c r="O42" s="770"/>
      <c r="P42" s="770"/>
    </row>
    <row r="43" spans="1:16" ht="16.5" thickTop="1" thickBot="1">
      <c r="A43" s="95" t="s">
        <v>108</v>
      </c>
      <c r="B43" s="98">
        <f t="shared" ref="B43:F43" si="1">SUM(B27:B42)</f>
        <v>2105</v>
      </c>
      <c r="C43" s="98">
        <f t="shared" si="1"/>
        <v>21014</v>
      </c>
      <c r="D43" s="98">
        <f t="shared" si="1"/>
        <v>3803</v>
      </c>
      <c r="E43" s="98">
        <f t="shared" si="1"/>
        <v>2526</v>
      </c>
      <c r="F43" s="98">
        <f t="shared" si="1"/>
        <v>911</v>
      </c>
      <c r="G43" s="770"/>
      <c r="H43" s="770"/>
      <c r="I43" s="770"/>
      <c r="J43" s="770"/>
      <c r="K43" s="17"/>
      <c r="L43" s="101">
        <f>SUM(L27:L42)</f>
        <v>0</v>
      </c>
      <c r="M43" s="101">
        <f>B22-B43-C43-D43-E43-F43</f>
        <v>0</v>
      </c>
      <c r="N43" s="770"/>
      <c r="O43" s="27"/>
      <c r="P43" s="27"/>
    </row>
    <row r="44" spans="1:16" ht="15.75" thickTop="1">
      <c r="A44" s="770"/>
      <c r="B44" s="770"/>
      <c r="C44" s="770"/>
      <c r="D44" s="770"/>
      <c r="E44" s="770"/>
      <c r="F44" s="770"/>
      <c r="G44" s="770"/>
      <c r="H44" s="770"/>
      <c r="I44" s="770"/>
      <c r="J44" s="770"/>
      <c r="K44" s="770"/>
      <c r="L44" s="770"/>
      <c r="M44" s="770"/>
      <c r="N44" s="770"/>
      <c r="O44" s="770"/>
      <c r="P44" s="770"/>
    </row>
    <row r="47" spans="1:16" ht="15.75" thickBot="1">
      <c r="A47" s="770"/>
      <c r="B47" s="770"/>
      <c r="C47" s="770"/>
      <c r="D47" s="770"/>
      <c r="E47" s="770"/>
      <c r="F47" s="770"/>
      <c r="G47" s="770"/>
      <c r="H47" s="770"/>
      <c r="I47" s="770"/>
      <c r="J47" s="770"/>
      <c r="K47" s="770"/>
      <c r="L47" s="770"/>
      <c r="M47" s="770"/>
      <c r="N47" s="770"/>
      <c r="O47" s="770"/>
      <c r="P47" s="770"/>
    </row>
    <row r="48" spans="1:16" s="592" customFormat="1" ht="15.75" thickBot="1">
      <c r="A48" s="815"/>
      <c r="B48" s="816"/>
      <c r="C48" s="816"/>
      <c r="D48" s="816"/>
      <c r="E48" s="816"/>
      <c r="F48" s="816"/>
      <c r="G48" s="816"/>
      <c r="H48" s="816"/>
      <c r="I48" s="816"/>
      <c r="J48" s="816"/>
      <c r="K48" s="816"/>
      <c r="L48" s="816"/>
      <c r="M48" s="816"/>
      <c r="N48" s="816"/>
      <c r="O48" s="816"/>
      <c r="P48" s="816"/>
    </row>
    <row r="50" spans="1:15" ht="15.75">
      <c r="A50" s="664" t="s">
        <v>601</v>
      </c>
      <c r="B50" s="817"/>
      <c r="C50" s="817"/>
      <c r="D50" s="817"/>
      <c r="E50" s="817"/>
      <c r="F50" s="770"/>
      <c r="G50" s="770"/>
      <c r="H50" s="770"/>
      <c r="I50" s="770"/>
      <c r="J50" s="770"/>
      <c r="K50" s="770"/>
      <c r="L50" s="770"/>
      <c r="M50" s="770"/>
      <c r="N50" s="770"/>
      <c r="O50" s="770"/>
    </row>
    <row r="51" spans="1:15">
      <c r="A51" s="19"/>
      <c r="B51" s="20"/>
      <c r="C51" s="300"/>
      <c r="D51" s="770"/>
      <c r="E51" s="770"/>
      <c r="F51" s="770"/>
      <c r="G51" s="770"/>
      <c r="H51" s="770"/>
      <c r="I51" s="770"/>
      <c r="J51" s="770"/>
      <c r="K51" s="770"/>
      <c r="L51" s="770"/>
      <c r="M51" s="770"/>
      <c r="N51" s="770"/>
      <c r="O51" s="770"/>
    </row>
    <row r="52" spans="1:15">
      <c r="A52" s="19"/>
      <c r="B52" s="20"/>
      <c r="C52" s="770"/>
      <c r="D52" s="770"/>
      <c r="E52" s="770"/>
      <c r="F52" s="770"/>
      <c r="G52" s="770"/>
      <c r="H52" s="770"/>
      <c r="I52" s="770"/>
      <c r="J52" s="770"/>
      <c r="K52" s="770"/>
      <c r="L52" s="770"/>
      <c r="M52" s="770"/>
      <c r="N52" s="770"/>
      <c r="O52" s="770"/>
    </row>
    <row r="53" spans="1:15">
      <c r="A53" s="7" t="s">
        <v>598</v>
      </c>
      <c r="B53" s="24"/>
      <c r="C53" s="770"/>
      <c r="D53" s="770"/>
      <c r="E53" s="7" t="s">
        <v>121</v>
      </c>
      <c r="F53" s="25" t="s">
        <v>530</v>
      </c>
      <c r="G53" s="770"/>
      <c r="H53" s="770"/>
      <c r="I53" s="770"/>
      <c r="J53" s="770"/>
      <c r="K53" s="770"/>
      <c r="L53" s="770"/>
      <c r="M53" s="770"/>
      <c r="N53" s="770"/>
      <c r="O53" s="770"/>
    </row>
    <row r="54" spans="1:15">
      <c r="A54" s="99">
        <v>42736</v>
      </c>
      <c r="B54" s="314" t="s">
        <v>320</v>
      </c>
      <c r="C54" s="85"/>
      <c r="D54" s="85"/>
      <c r="E54" s="99">
        <v>42736</v>
      </c>
      <c r="F54" s="314" t="s">
        <v>320</v>
      </c>
      <c r="G54" s="770"/>
      <c r="H54" s="770"/>
      <c r="I54" s="770"/>
      <c r="J54" s="770"/>
      <c r="K54" s="770"/>
      <c r="L54" s="770"/>
      <c r="M54" s="770"/>
      <c r="N54" s="770"/>
      <c r="O54" s="770"/>
    </row>
    <row r="55" spans="1:15">
      <c r="A55" s="95" t="s">
        <v>92</v>
      </c>
      <c r="B55" s="93">
        <v>449</v>
      </c>
      <c r="C55" s="85"/>
      <c r="D55" s="85"/>
      <c r="E55" s="95" t="s">
        <v>92</v>
      </c>
      <c r="F55" s="312">
        <v>31</v>
      </c>
      <c r="G55" s="770"/>
      <c r="H55" s="770"/>
      <c r="I55" s="770"/>
      <c r="J55" s="770"/>
      <c r="K55" s="770"/>
      <c r="L55" s="770"/>
      <c r="M55" s="770"/>
      <c r="N55" s="770"/>
      <c r="O55" s="770"/>
    </row>
    <row r="56" spans="1:15">
      <c r="A56" s="95" t="s">
        <v>93</v>
      </c>
      <c r="B56" s="93">
        <v>933</v>
      </c>
      <c r="C56" s="85"/>
      <c r="D56" s="85"/>
      <c r="E56" s="95" t="s">
        <v>93</v>
      </c>
      <c r="F56" s="312">
        <v>93</v>
      </c>
      <c r="G56" s="770"/>
      <c r="H56" s="770"/>
      <c r="I56" s="770"/>
      <c r="J56" s="770"/>
      <c r="K56" s="770"/>
      <c r="L56" s="770"/>
      <c r="M56" s="770"/>
      <c r="N56" s="770"/>
      <c r="O56" s="770"/>
    </row>
    <row r="57" spans="1:15">
      <c r="A57" s="95" t="s">
        <v>94</v>
      </c>
      <c r="B57" s="93">
        <v>2638</v>
      </c>
      <c r="C57" s="85"/>
      <c r="D57" s="85"/>
      <c r="E57" s="95" t="s">
        <v>94</v>
      </c>
      <c r="F57" s="312">
        <v>339</v>
      </c>
      <c r="G57" s="770"/>
      <c r="H57" s="770"/>
      <c r="I57" s="770"/>
      <c r="J57" s="770"/>
      <c r="K57" s="770"/>
      <c r="L57" s="770"/>
      <c r="M57" s="770"/>
      <c r="N57" s="770"/>
      <c r="O57" s="770"/>
    </row>
    <row r="58" spans="1:15">
      <c r="A58" s="95" t="s">
        <v>95</v>
      </c>
      <c r="B58" s="93">
        <v>501</v>
      </c>
      <c r="C58" s="85"/>
      <c r="D58" s="85"/>
      <c r="E58" s="95" t="s">
        <v>95</v>
      </c>
      <c r="F58" s="312">
        <v>39</v>
      </c>
      <c r="G58" s="770"/>
      <c r="H58" s="770"/>
      <c r="I58" s="770"/>
      <c r="J58" s="770"/>
      <c r="K58" s="770"/>
      <c r="L58" s="770"/>
      <c r="M58" s="770"/>
      <c r="N58" s="770"/>
      <c r="O58" s="770"/>
    </row>
    <row r="59" spans="1:15">
      <c r="A59" s="95" t="s">
        <v>96</v>
      </c>
      <c r="B59" s="93">
        <v>505</v>
      </c>
      <c r="C59" s="85"/>
      <c r="D59" s="85"/>
      <c r="E59" s="95" t="s">
        <v>96</v>
      </c>
      <c r="F59" s="312">
        <v>62</v>
      </c>
      <c r="G59" s="770"/>
      <c r="H59" s="770"/>
      <c r="I59" s="770"/>
      <c r="J59" s="770"/>
      <c r="K59" s="770"/>
      <c r="L59" s="770"/>
      <c r="M59" s="770"/>
      <c r="N59" s="770"/>
      <c r="O59" s="770"/>
    </row>
    <row r="60" spans="1:15">
      <c r="A60" s="95" t="s">
        <v>97</v>
      </c>
      <c r="B60" s="93">
        <v>1619</v>
      </c>
      <c r="C60" s="85"/>
      <c r="D60" s="85"/>
      <c r="E60" s="95" t="s">
        <v>97</v>
      </c>
      <c r="F60" s="312">
        <v>200</v>
      </c>
      <c r="G60" s="770"/>
      <c r="H60" s="770"/>
      <c r="I60" s="770"/>
      <c r="J60" s="770"/>
      <c r="K60" s="770"/>
      <c r="L60" s="770"/>
      <c r="M60" s="770"/>
      <c r="N60" s="770"/>
      <c r="O60" s="770"/>
    </row>
    <row r="61" spans="1:15">
      <c r="A61" s="95" t="s">
        <v>98</v>
      </c>
      <c r="B61" s="93">
        <v>5512</v>
      </c>
      <c r="C61" s="85"/>
      <c r="D61" s="85"/>
      <c r="E61" s="95" t="s">
        <v>98</v>
      </c>
      <c r="F61" s="312">
        <v>768</v>
      </c>
      <c r="G61" s="770"/>
      <c r="H61" s="770"/>
      <c r="I61" s="770"/>
      <c r="J61" s="770"/>
      <c r="K61" s="770"/>
      <c r="L61" s="770"/>
      <c r="M61" s="770"/>
      <c r="N61" s="770"/>
      <c r="O61" s="770"/>
    </row>
    <row r="62" spans="1:15">
      <c r="A62" s="95" t="s">
        <v>99</v>
      </c>
      <c r="B62" s="93">
        <v>313</v>
      </c>
      <c r="C62" s="85"/>
      <c r="D62" s="85"/>
      <c r="E62" s="95" t="s">
        <v>99</v>
      </c>
      <c r="F62" s="312">
        <v>19</v>
      </c>
      <c r="G62" s="770"/>
      <c r="H62" s="770"/>
      <c r="I62" s="770"/>
      <c r="J62" s="770"/>
      <c r="K62" s="770"/>
      <c r="L62" s="770"/>
      <c r="M62" s="770"/>
      <c r="N62" s="770"/>
      <c r="O62" s="770"/>
    </row>
    <row r="63" spans="1:15">
      <c r="A63" s="95" t="s">
        <v>100</v>
      </c>
      <c r="B63" s="93">
        <v>224</v>
      </c>
      <c r="C63" s="85"/>
      <c r="D63" s="85"/>
      <c r="E63" s="95" t="s">
        <v>100</v>
      </c>
      <c r="F63" s="312">
        <v>6</v>
      </c>
      <c r="G63" s="770"/>
      <c r="H63" s="770"/>
      <c r="I63" s="770"/>
      <c r="J63" s="770"/>
      <c r="K63" s="770"/>
      <c r="L63" s="770"/>
      <c r="M63" s="770"/>
      <c r="N63" s="770"/>
      <c r="O63" s="770"/>
    </row>
    <row r="64" spans="1:15">
      <c r="A64" s="95" t="s">
        <v>101</v>
      </c>
      <c r="B64" s="93">
        <v>2135</v>
      </c>
      <c r="C64" s="85"/>
      <c r="D64" s="85"/>
      <c r="E64" s="95" t="s">
        <v>101</v>
      </c>
      <c r="F64" s="312">
        <v>298</v>
      </c>
      <c r="G64" s="770"/>
      <c r="H64" s="770"/>
      <c r="I64" s="770"/>
      <c r="J64" s="770"/>
      <c r="K64" s="770"/>
      <c r="L64" s="770"/>
      <c r="M64" s="770"/>
      <c r="N64" s="770"/>
      <c r="O64" s="770"/>
    </row>
    <row r="65" spans="1:15">
      <c r="A65" s="95" t="s">
        <v>102</v>
      </c>
      <c r="B65" s="93">
        <v>376</v>
      </c>
      <c r="C65" s="85"/>
      <c r="D65" s="85"/>
      <c r="E65" s="95" t="s">
        <v>102</v>
      </c>
      <c r="F65" s="312">
        <v>44</v>
      </c>
      <c r="G65" s="770"/>
      <c r="H65" s="770"/>
      <c r="I65" s="770"/>
      <c r="J65" s="770"/>
      <c r="K65" s="770"/>
      <c r="L65" s="770"/>
      <c r="M65" s="770"/>
      <c r="N65" s="770"/>
      <c r="O65" s="770"/>
    </row>
    <row r="66" spans="1:15">
      <c r="A66" s="95" t="s">
        <v>103</v>
      </c>
      <c r="B66" s="93">
        <v>1810</v>
      </c>
      <c r="C66" s="85"/>
      <c r="D66" s="85"/>
      <c r="E66" s="95" t="s">
        <v>103</v>
      </c>
      <c r="F66" s="312">
        <v>224</v>
      </c>
      <c r="G66" s="770"/>
      <c r="H66" s="770"/>
      <c r="I66" s="776"/>
      <c r="J66" s="770"/>
      <c r="K66" s="770"/>
      <c r="L66" s="770"/>
      <c r="M66" s="770"/>
      <c r="N66" s="770"/>
      <c r="O66" s="770"/>
    </row>
    <row r="67" spans="1:15">
      <c r="A67" s="95" t="s">
        <v>104</v>
      </c>
      <c r="B67" s="93">
        <v>105</v>
      </c>
      <c r="C67" s="85"/>
      <c r="D67" s="85"/>
      <c r="E67" s="95" t="s">
        <v>104</v>
      </c>
      <c r="F67" s="312">
        <v>10</v>
      </c>
      <c r="G67" s="770"/>
      <c r="H67" s="770"/>
      <c r="I67" s="770"/>
      <c r="J67" s="770"/>
      <c r="K67" s="770"/>
      <c r="L67" s="770"/>
      <c r="M67" s="770"/>
      <c r="N67" s="770"/>
      <c r="O67" s="770"/>
    </row>
    <row r="68" spans="1:15">
      <c r="A68" s="95" t="s">
        <v>105</v>
      </c>
      <c r="B68" s="93">
        <v>1019</v>
      </c>
      <c r="C68" s="85"/>
      <c r="D68" s="85"/>
      <c r="E68" s="95" t="s">
        <v>105</v>
      </c>
      <c r="F68" s="312">
        <v>117</v>
      </c>
      <c r="G68" s="770"/>
      <c r="H68" s="770"/>
      <c r="I68" s="770"/>
      <c r="J68" s="770"/>
      <c r="K68" s="770"/>
      <c r="L68" s="770"/>
      <c r="M68" s="770"/>
      <c r="N68" s="770"/>
      <c r="O68" s="770"/>
    </row>
    <row r="69" spans="1:15">
      <c r="A69" s="95" t="s">
        <v>106</v>
      </c>
      <c r="B69" s="93">
        <v>463</v>
      </c>
      <c r="C69" s="85"/>
      <c r="D69" s="85"/>
      <c r="E69" s="95" t="s">
        <v>106</v>
      </c>
      <c r="F69" s="312">
        <v>47</v>
      </c>
      <c r="G69" s="770"/>
      <c r="H69" s="770"/>
      <c r="I69" s="770"/>
      <c r="J69" s="770"/>
      <c r="K69" s="770"/>
      <c r="L69" s="770"/>
      <c r="M69" s="770"/>
      <c r="N69" s="770"/>
      <c r="O69" s="770"/>
    </row>
    <row r="70" spans="1:15">
      <c r="A70" s="96" t="s">
        <v>107</v>
      </c>
      <c r="B70" s="94">
        <v>11742</v>
      </c>
      <c r="C70" s="85"/>
      <c r="D70" s="85"/>
      <c r="E70" s="96" t="s">
        <v>107</v>
      </c>
      <c r="F70" s="313">
        <v>1225</v>
      </c>
      <c r="G70" s="770"/>
      <c r="H70" s="770"/>
      <c r="I70" s="770"/>
      <c r="J70" s="770"/>
      <c r="K70" s="770"/>
      <c r="L70" s="770"/>
      <c r="M70" s="770"/>
      <c r="N70" s="770"/>
      <c r="O70" s="770"/>
    </row>
    <row r="71" spans="1:15">
      <c r="A71" s="95" t="s">
        <v>108</v>
      </c>
      <c r="B71" s="97">
        <v>30344</v>
      </c>
      <c r="C71" s="85"/>
      <c r="D71" s="85"/>
      <c r="E71" s="95" t="s">
        <v>108</v>
      </c>
      <c r="F71" s="98">
        <v>3522</v>
      </c>
      <c r="G71" s="770"/>
      <c r="H71" s="770"/>
      <c r="I71" s="770"/>
      <c r="J71" s="770"/>
      <c r="K71" s="770"/>
      <c r="L71" s="770"/>
      <c r="M71" s="770"/>
      <c r="N71" s="770"/>
      <c r="O71" s="770"/>
    </row>
    <row r="72" spans="1:15">
      <c r="A72" s="770"/>
      <c r="B72" s="770"/>
      <c r="C72" s="770"/>
      <c r="D72" s="770"/>
      <c r="E72" s="770"/>
      <c r="F72" s="770"/>
      <c r="G72" s="770"/>
      <c r="H72" s="770"/>
      <c r="I72" s="770"/>
      <c r="J72" s="770"/>
      <c r="K72" s="770"/>
      <c r="L72" s="770"/>
      <c r="M72" s="770"/>
      <c r="N72" s="770"/>
      <c r="O72" s="770"/>
    </row>
    <row r="73" spans="1:15">
      <c r="A73" s="770"/>
      <c r="B73" s="770"/>
      <c r="C73" s="770"/>
      <c r="D73" s="770"/>
      <c r="E73" s="770"/>
      <c r="F73" s="770"/>
      <c r="G73" s="770"/>
      <c r="H73" s="770"/>
      <c r="I73" s="770"/>
      <c r="J73" s="770"/>
      <c r="K73" s="770"/>
      <c r="L73" s="770"/>
      <c r="M73" s="770"/>
      <c r="N73" s="770"/>
      <c r="O73" s="770"/>
    </row>
    <row r="74" spans="1:15" ht="15.75">
      <c r="A74" s="7" t="s">
        <v>599</v>
      </c>
      <c r="B74" s="784"/>
      <c r="C74" s="784"/>
      <c r="D74" s="784"/>
      <c r="E74" s="784"/>
      <c r="F74" s="784"/>
      <c r="G74"/>
      <c r="H74" s="770"/>
      <c r="I74" s="770"/>
      <c r="J74" s="770"/>
      <c r="K74" s="770"/>
      <c r="L74" s="770"/>
      <c r="M74" s="770"/>
      <c r="N74" s="770"/>
      <c r="O74" s="770"/>
    </row>
    <row r="75" spans="1:15" ht="15.75" thickBot="1">
      <c r="A75" s="318" t="s">
        <v>562</v>
      </c>
      <c r="B75" s="100" t="s">
        <v>400</v>
      </c>
      <c r="C75" s="100" t="s">
        <v>404</v>
      </c>
      <c r="D75" s="100" t="s">
        <v>401</v>
      </c>
      <c r="E75" s="100" t="s">
        <v>402</v>
      </c>
      <c r="F75" s="100" t="s">
        <v>403</v>
      </c>
      <c r="G75" s="770"/>
      <c r="H75" s="770"/>
      <c r="I75" s="770"/>
      <c r="J75" s="770"/>
      <c r="K75" s="770"/>
      <c r="L75" s="85" t="s">
        <v>540</v>
      </c>
      <c r="M75" s="85"/>
      <c r="N75" s="85"/>
      <c r="O75" s="770"/>
    </row>
    <row r="76" spans="1:15" ht="16.5" thickTop="1" thickBot="1">
      <c r="A76" s="95" t="s">
        <v>92</v>
      </c>
      <c r="B76" s="316">
        <v>14</v>
      </c>
      <c r="C76" s="316">
        <v>283</v>
      </c>
      <c r="D76" s="316">
        <v>80</v>
      </c>
      <c r="E76" s="316">
        <v>54</v>
      </c>
      <c r="F76" s="316">
        <v>18</v>
      </c>
      <c r="G76" s="770"/>
      <c r="H76" s="770"/>
      <c r="I76" s="770"/>
      <c r="J76" s="770"/>
      <c r="K76" s="770"/>
      <c r="L76" s="101">
        <v>0</v>
      </c>
      <c r="M76" s="85"/>
      <c r="N76" s="85"/>
      <c r="O76" s="770"/>
    </row>
    <row r="77" spans="1:15" ht="16.5" thickTop="1" thickBot="1">
      <c r="A77" s="95" t="s">
        <v>93</v>
      </c>
      <c r="B77" s="316">
        <v>58</v>
      </c>
      <c r="C77" s="316">
        <v>614</v>
      </c>
      <c r="D77" s="316">
        <v>143</v>
      </c>
      <c r="E77" s="316">
        <v>85</v>
      </c>
      <c r="F77" s="316">
        <v>33</v>
      </c>
      <c r="G77" s="770"/>
      <c r="H77" s="770"/>
      <c r="I77" s="770"/>
      <c r="J77" s="770"/>
      <c r="K77" s="770"/>
      <c r="L77" s="101">
        <v>0</v>
      </c>
      <c r="M77" s="85"/>
      <c r="N77" s="85"/>
      <c r="O77" s="770"/>
    </row>
    <row r="78" spans="1:15" ht="16.5" thickTop="1" thickBot="1">
      <c r="A78" s="95" t="s">
        <v>94</v>
      </c>
      <c r="B78" s="316">
        <v>195</v>
      </c>
      <c r="C78" s="316">
        <v>1857</v>
      </c>
      <c r="D78" s="316">
        <v>322</v>
      </c>
      <c r="E78" s="316">
        <v>207</v>
      </c>
      <c r="F78" s="316">
        <v>57</v>
      </c>
      <c r="G78" s="770"/>
      <c r="H78" s="770"/>
      <c r="I78" s="770"/>
      <c r="J78" s="770"/>
      <c r="K78" s="770"/>
      <c r="L78" s="101">
        <v>0</v>
      </c>
      <c r="M78" s="85"/>
      <c r="N78" s="85"/>
      <c r="O78" s="770"/>
    </row>
    <row r="79" spans="1:15" ht="16.5" thickTop="1" thickBot="1">
      <c r="A79" s="95" t="s">
        <v>95</v>
      </c>
      <c r="B79" s="316">
        <v>36</v>
      </c>
      <c r="C79" s="316">
        <v>303</v>
      </c>
      <c r="D79" s="316">
        <v>85</v>
      </c>
      <c r="E79" s="316">
        <v>48</v>
      </c>
      <c r="F79" s="316">
        <v>29</v>
      </c>
      <c r="G79" s="770"/>
      <c r="H79" s="770"/>
      <c r="I79" s="770"/>
      <c r="J79" s="770"/>
      <c r="K79" s="770"/>
      <c r="L79" s="101">
        <v>0</v>
      </c>
      <c r="M79" s="85"/>
      <c r="N79" s="85"/>
      <c r="O79" s="770"/>
    </row>
    <row r="80" spans="1:15" ht="16.5" thickTop="1" thickBot="1">
      <c r="A80" s="95" t="s">
        <v>96</v>
      </c>
      <c r="B80" s="316">
        <v>34</v>
      </c>
      <c r="C80" s="316">
        <v>353</v>
      </c>
      <c r="D80" s="316">
        <v>53</v>
      </c>
      <c r="E80" s="316">
        <v>44</v>
      </c>
      <c r="F80" s="316">
        <v>21</v>
      </c>
      <c r="G80" s="770"/>
      <c r="H80" s="770"/>
      <c r="I80" s="770"/>
      <c r="J80" s="770"/>
      <c r="K80" s="770"/>
      <c r="L80" s="101">
        <v>0</v>
      </c>
      <c r="M80" s="85"/>
      <c r="N80" s="85"/>
      <c r="O80" s="770"/>
    </row>
    <row r="81" spans="1:15" ht="16.5" thickTop="1" thickBot="1">
      <c r="A81" s="95" t="s">
        <v>97</v>
      </c>
      <c r="B81" s="316">
        <v>119</v>
      </c>
      <c r="C81" s="316">
        <v>1136</v>
      </c>
      <c r="D81" s="316">
        <v>195</v>
      </c>
      <c r="E81" s="316">
        <v>123</v>
      </c>
      <c r="F81" s="316">
        <v>46</v>
      </c>
      <c r="G81" s="770"/>
      <c r="H81" s="770"/>
      <c r="I81" s="770"/>
      <c r="J81" s="770"/>
      <c r="K81" s="770"/>
      <c r="L81" s="101">
        <v>0</v>
      </c>
      <c r="M81" s="85"/>
      <c r="N81" s="85"/>
      <c r="O81" s="770"/>
    </row>
    <row r="82" spans="1:15" ht="16.5" thickTop="1" thickBot="1">
      <c r="A82" s="95" t="s">
        <v>98</v>
      </c>
      <c r="B82" s="316">
        <v>540</v>
      </c>
      <c r="C82" s="316">
        <v>4120</v>
      </c>
      <c r="D82" s="316">
        <v>508</v>
      </c>
      <c r="E82" s="316">
        <v>268</v>
      </c>
      <c r="F82" s="316">
        <v>76</v>
      </c>
      <c r="G82" s="770"/>
      <c r="H82" s="770"/>
      <c r="I82" s="770"/>
      <c r="J82" s="770"/>
      <c r="K82" s="770"/>
      <c r="L82" s="101">
        <v>0</v>
      </c>
      <c r="M82" s="85"/>
      <c r="N82" s="85"/>
      <c r="O82" s="770"/>
    </row>
    <row r="83" spans="1:15" ht="16.5" thickTop="1" thickBot="1">
      <c r="A83" s="95" t="s">
        <v>99</v>
      </c>
      <c r="B83" s="316">
        <v>18</v>
      </c>
      <c r="C83" s="316">
        <v>173</v>
      </c>
      <c r="D83" s="316">
        <v>66</v>
      </c>
      <c r="E83" s="316">
        <v>33</v>
      </c>
      <c r="F83" s="316">
        <v>23</v>
      </c>
      <c r="G83" s="770"/>
      <c r="H83" s="770"/>
      <c r="I83" s="770"/>
      <c r="J83" s="770"/>
      <c r="K83" s="770"/>
      <c r="L83" s="101">
        <v>0</v>
      </c>
      <c r="M83" s="85"/>
      <c r="N83" s="85"/>
      <c r="O83" s="770"/>
    </row>
    <row r="84" spans="1:15" ht="16.5" thickTop="1" thickBot="1">
      <c r="A84" s="95" t="s">
        <v>100</v>
      </c>
      <c r="B84" s="316">
        <v>5</v>
      </c>
      <c r="C84" s="316">
        <v>139</v>
      </c>
      <c r="D84" s="316">
        <v>34</v>
      </c>
      <c r="E84" s="316">
        <v>34</v>
      </c>
      <c r="F84" s="316">
        <v>12</v>
      </c>
      <c r="G84" s="770"/>
      <c r="H84" s="770"/>
      <c r="I84" s="770"/>
      <c r="J84" s="770"/>
      <c r="K84" s="770"/>
      <c r="L84" s="101">
        <v>0</v>
      </c>
      <c r="M84" s="85"/>
      <c r="N84" s="85"/>
      <c r="O84" s="770"/>
    </row>
    <row r="85" spans="1:15" ht="16.5" thickTop="1" thickBot="1">
      <c r="A85" s="95" t="s">
        <v>101</v>
      </c>
      <c r="B85" s="316">
        <v>215</v>
      </c>
      <c r="C85" s="316">
        <v>1515</v>
      </c>
      <c r="D85" s="316">
        <v>234</v>
      </c>
      <c r="E85" s="316">
        <v>132</v>
      </c>
      <c r="F85" s="316">
        <v>39</v>
      </c>
      <c r="G85" s="770"/>
      <c r="H85" s="770"/>
      <c r="I85" s="770"/>
      <c r="J85" s="770"/>
      <c r="K85" s="770"/>
      <c r="L85" s="101">
        <v>0</v>
      </c>
      <c r="M85" s="85"/>
      <c r="N85" s="85"/>
      <c r="O85" s="770"/>
    </row>
    <row r="86" spans="1:15" ht="16.5" thickTop="1" thickBot="1">
      <c r="A86" s="95" t="s">
        <v>102</v>
      </c>
      <c r="B86" s="316">
        <v>16</v>
      </c>
      <c r="C86" s="316">
        <v>253</v>
      </c>
      <c r="D86" s="316">
        <v>55</v>
      </c>
      <c r="E86" s="316">
        <v>38</v>
      </c>
      <c r="F86" s="316">
        <v>14</v>
      </c>
      <c r="G86" s="770"/>
      <c r="H86" s="770"/>
      <c r="I86" s="770"/>
      <c r="J86" s="770"/>
      <c r="K86" s="770"/>
      <c r="L86" s="101">
        <v>0</v>
      </c>
      <c r="M86" s="85"/>
      <c r="N86" s="85"/>
      <c r="O86" s="770"/>
    </row>
    <row r="87" spans="1:15" ht="16.5" thickTop="1" thickBot="1">
      <c r="A87" s="95" t="s">
        <v>103</v>
      </c>
      <c r="B87" s="316">
        <v>138</v>
      </c>
      <c r="C87" s="316">
        <v>1203</v>
      </c>
      <c r="D87" s="316">
        <v>257</v>
      </c>
      <c r="E87" s="316">
        <v>139</v>
      </c>
      <c r="F87" s="316">
        <v>73</v>
      </c>
      <c r="G87" s="770"/>
      <c r="H87" s="770"/>
      <c r="I87" s="770"/>
      <c r="J87" s="770"/>
      <c r="K87" s="770"/>
      <c r="L87" s="101">
        <v>0</v>
      </c>
      <c r="M87" s="85"/>
      <c r="N87" s="85"/>
      <c r="O87" s="770"/>
    </row>
    <row r="88" spans="1:15" ht="16.5" thickTop="1" thickBot="1">
      <c r="A88" s="95" t="s">
        <v>104</v>
      </c>
      <c r="B88" s="317">
        <v>9</v>
      </c>
      <c r="C88" s="316">
        <v>59</v>
      </c>
      <c r="D88" s="316">
        <v>17</v>
      </c>
      <c r="E88" s="316">
        <v>15</v>
      </c>
      <c r="F88" s="316">
        <v>5</v>
      </c>
      <c r="G88" s="770"/>
      <c r="H88" s="770"/>
      <c r="I88" s="770"/>
      <c r="J88" s="770"/>
      <c r="K88" s="770"/>
      <c r="L88" s="101">
        <v>0</v>
      </c>
      <c r="M88" s="85"/>
      <c r="N88" s="85"/>
      <c r="O88" s="770"/>
    </row>
    <row r="89" spans="1:15" ht="16.5" thickTop="1" thickBot="1">
      <c r="A89" s="95" t="s">
        <v>105</v>
      </c>
      <c r="B89" s="316">
        <v>60</v>
      </c>
      <c r="C89" s="316">
        <v>685</v>
      </c>
      <c r="D89" s="316">
        <v>152</v>
      </c>
      <c r="E89" s="316">
        <v>94</v>
      </c>
      <c r="F89" s="316">
        <v>28</v>
      </c>
      <c r="G89" s="770"/>
      <c r="H89" s="770"/>
      <c r="I89" s="770"/>
      <c r="J89" s="770"/>
      <c r="K89" s="770"/>
      <c r="L89" s="101">
        <v>0</v>
      </c>
      <c r="M89" s="85"/>
      <c r="N89" s="85"/>
      <c r="O89" s="770"/>
    </row>
    <row r="90" spans="1:15" ht="16.5" thickTop="1" thickBot="1">
      <c r="A90" s="95" t="s">
        <v>106</v>
      </c>
      <c r="B90" s="316">
        <v>39</v>
      </c>
      <c r="C90" s="316">
        <v>292</v>
      </c>
      <c r="D90" s="316">
        <v>63</v>
      </c>
      <c r="E90" s="316">
        <v>41</v>
      </c>
      <c r="F90" s="316">
        <v>28</v>
      </c>
      <c r="G90" s="770"/>
      <c r="H90" s="770"/>
      <c r="I90" s="770"/>
      <c r="J90" s="770"/>
      <c r="K90" s="770"/>
      <c r="L90" s="101">
        <v>0</v>
      </c>
      <c r="M90" s="85"/>
      <c r="N90" s="85"/>
      <c r="O90" s="770"/>
    </row>
    <row r="91" spans="1:15" ht="16.5" thickTop="1" thickBot="1">
      <c r="A91" s="96" t="s">
        <v>107</v>
      </c>
      <c r="B91" s="315">
        <v>662</v>
      </c>
      <c r="C91" s="315">
        <v>8101</v>
      </c>
      <c r="D91" s="315">
        <v>1564</v>
      </c>
      <c r="E91" s="315">
        <v>1036</v>
      </c>
      <c r="F91" s="315">
        <v>379</v>
      </c>
      <c r="G91" s="770"/>
      <c r="H91" s="770"/>
      <c r="I91" s="770"/>
      <c r="J91" s="770"/>
      <c r="K91" s="770"/>
      <c r="L91" s="102">
        <v>0</v>
      </c>
      <c r="M91" s="85"/>
      <c r="N91" s="85"/>
      <c r="O91" s="770"/>
    </row>
    <row r="92" spans="1:15" ht="16.5" thickTop="1" thickBot="1">
      <c r="A92" s="95" t="s">
        <v>108</v>
      </c>
      <c r="B92" s="98">
        <v>2158</v>
      </c>
      <c r="C92" s="98">
        <v>21086</v>
      </c>
      <c r="D92" s="98">
        <v>3828</v>
      </c>
      <c r="E92" s="98">
        <v>2391</v>
      </c>
      <c r="F92" s="98">
        <v>881</v>
      </c>
      <c r="G92" s="770"/>
      <c r="H92" s="770"/>
      <c r="I92" s="770"/>
      <c r="J92" s="770"/>
      <c r="K92" s="17"/>
      <c r="L92" s="101">
        <v>0</v>
      </c>
      <c r="M92" s="101">
        <v>0</v>
      </c>
      <c r="N92" s="770"/>
      <c r="O92" s="27"/>
    </row>
    <row r="93" spans="1:15" ht="15.75" thickTop="1">
      <c r="A93" s="770"/>
      <c r="B93" s="770"/>
      <c r="C93" s="770"/>
      <c r="D93" s="770"/>
      <c r="E93" s="770"/>
      <c r="F93" s="770"/>
      <c r="G93" s="770"/>
      <c r="H93" s="770"/>
      <c r="I93" s="770"/>
      <c r="J93" s="770"/>
      <c r="K93" s="770"/>
      <c r="L93" s="770"/>
      <c r="M93" s="770"/>
      <c r="N93" s="770"/>
      <c r="O93" s="770"/>
    </row>
    <row r="94" spans="1:15">
      <c r="A94" s="770"/>
      <c r="B94" s="770"/>
      <c r="C94" s="770"/>
      <c r="D94" s="770"/>
      <c r="E94" s="770"/>
      <c r="F94" s="770"/>
      <c r="G94" s="770"/>
      <c r="H94" s="770"/>
      <c r="I94" s="770"/>
      <c r="J94" s="770"/>
      <c r="K94" s="770"/>
      <c r="L94" s="770"/>
      <c r="M94" s="770"/>
      <c r="N94" s="770"/>
      <c r="O94" s="770"/>
    </row>
    <row r="98" spans="1:13" ht="15.75" thickBot="1">
      <c r="A98" s="770"/>
      <c r="B98" s="770"/>
      <c r="C98" s="770"/>
      <c r="D98" s="770"/>
      <c r="E98" s="770"/>
      <c r="F98" s="770"/>
      <c r="G98" s="770"/>
      <c r="H98" s="770"/>
      <c r="I98" s="770"/>
      <c r="J98" s="770"/>
      <c r="K98" s="770"/>
      <c r="L98" s="770"/>
      <c r="M98" s="770"/>
    </row>
    <row r="99" spans="1:13" s="592" customFormat="1" ht="15.75" thickBot="1">
      <c r="A99" s="815"/>
      <c r="B99" s="816"/>
      <c r="C99" s="816"/>
      <c r="D99" s="816"/>
      <c r="E99" s="816"/>
      <c r="F99" s="816"/>
      <c r="G99" s="816"/>
      <c r="H99" s="816"/>
      <c r="I99" s="816"/>
      <c r="J99" s="816"/>
      <c r="K99" s="816"/>
      <c r="L99" s="816"/>
      <c r="M99" s="816"/>
    </row>
    <row r="100" spans="1:13">
      <c r="A100" s="770"/>
      <c r="B100" s="770"/>
      <c r="C100" s="770"/>
      <c r="D100" s="770"/>
      <c r="E100" s="770"/>
      <c r="F100" s="770"/>
      <c r="G100" s="770"/>
      <c r="H100" s="770"/>
      <c r="I100" s="770"/>
      <c r="J100" s="770"/>
      <c r="K100" s="770"/>
      <c r="L100" s="770"/>
      <c r="M100" s="770"/>
    </row>
    <row r="101" spans="1:13">
      <c r="A101" s="770"/>
      <c r="B101" s="770"/>
      <c r="C101" s="770"/>
      <c r="D101" s="770"/>
      <c r="E101" s="770"/>
      <c r="F101" s="770"/>
      <c r="G101" s="770"/>
      <c r="H101" s="770"/>
      <c r="I101" s="770"/>
      <c r="J101" s="770"/>
      <c r="K101" s="770"/>
      <c r="L101" s="770"/>
      <c r="M101" s="770"/>
    </row>
    <row r="102" spans="1:13">
      <c r="A102" s="770" t="s">
        <v>602</v>
      </c>
      <c r="B102" s="770"/>
      <c r="C102" s="770"/>
      <c r="D102" s="770"/>
      <c r="E102" s="770"/>
      <c r="F102" s="770"/>
      <c r="G102" s="770"/>
      <c r="H102" s="770"/>
      <c r="I102" s="770"/>
      <c r="J102" s="770"/>
      <c r="K102" s="770"/>
      <c r="L102" s="770"/>
      <c r="M102" s="770"/>
    </row>
    <row r="103" spans="1:13">
      <c r="A103" s="566" t="s">
        <v>603</v>
      </c>
      <c r="B103" s="556"/>
      <c r="C103" s="556"/>
      <c r="D103" s="556"/>
      <c r="E103" s="556"/>
      <c r="F103" s="566"/>
      <c r="G103" s="566"/>
      <c r="H103" s="556"/>
      <c r="I103" s="556"/>
      <c r="J103" s="556"/>
      <c r="K103" s="556"/>
      <c r="L103" s="556"/>
      <c r="M103" s="556"/>
    </row>
    <row r="104" spans="1:13" ht="15.75" thickBot="1">
      <c r="A104" s="567" t="s">
        <v>264</v>
      </c>
      <c r="B104" s="556" t="s">
        <v>72</v>
      </c>
      <c r="C104" s="585"/>
      <c r="D104" s="585" t="s">
        <v>604</v>
      </c>
      <c r="E104" s="585"/>
      <c r="F104" s="585"/>
      <c r="G104" s="585"/>
      <c r="H104" s="585"/>
      <c r="I104" s="585"/>
      <c r="J104" s="585" t="s">
        <v>605</v>
      </c>
      <c r="K104" s="556"/>
      <c r="L104" s="556"/>
      <c r="M104" s="556"/>
    </row>
    <row r="105" spans="1:13">
      <c r="A105" s="568"/>
      <c r="B105" s="569"/>
      <c r="C105" s="569"/>
      <c r="D105" s="570" t="s">
        <v>400</v>
      </c>
      <c r="E105" s="570" t="s">
        <v>404</v>
      </c>
      <c r="F105" s="570" t="s">
        <v>401</v>
      </c>
      <c r="G105" s="570" t="s">
        <v>402</v>
      </c>
      <c r="H105" s="570" t="s">
        <v>403</v>
      </c>
      <c r="I105" s="568"/>
      <c r="J105" s="570" t="s">
        <v>606</v>
      </c>
      <c r="K105" s="570" t="s">
        <v>607</v>
      </c>
      <c r="L105" s="570" t="s">
        <v>608</v>
      </c>
      <c r="M105" s="556"/>
    </row>
    <row r="106" spans="1:13">
      <c r="A106" s="571" t="s">
        <v>609</v>
      </c>
      <c r="B106" s="572"/>
      <c r="C106" s="572"/>
      <c r="D106" s="572"/>
      <c r="E106" s="573"/>
      <c r="F106" s="572"/>
      <c r="G106" s="572"/>
      <c r="H106" s="572"/>
      <c r="I106" s="574"/>
      <c r="J106" s="574"/>
      <c r="K106" s="575"/>
      <c r="L106" s="574"/>
      <c r="M106" s="556"/>
    </row>
    <row r="107" spans="1:13">
      <c r="A107" s="576" t="s">
        <v>92</v>
      </c>
      <c r="B107" s="566">
        <v>450</v>
      </c>
      <c r="C107" s="586"/>
      <c r="D107" s="586">
        <v>12</v>
      </c>
      <c r="E107" s="577">
        <v>283</v>
      </c>
      <c r="F107" s="577">
        <v>83</v>
      </c>
      <c r="G107" s="577">
        <v>56</v>
      </c>
      <c r="H107" s="577">
        <v>16</v>
      </c>
      <c r="I107" s="587"/>
      <c r="J107" s="587">
        <v>11</v>
      </c>
      <c r="K107" s="556">
        <v>34</v>
      </c>
      <c r="L107" s="556">
        <v>405</v>
      </c>
      <c r="M107" s="556"/>
    </row>
    <row r="108" spans="1:13">
      <c r="A108" s="566" t="s">
        <v>93</v>
      </c>
      <c r="B108" s="556">
        <v>939</v>
      </c>
      <c r="C108" s="556"/>
      <c r="D108" s="566">
        <v>56</v>
      </c>
      <c r="E108" s="566">
        <v>612</v>
      </c>
      <c r="F108" s="566">
        <v>146</v>
      </c>
      <c r="G108" s="566">
        <v>89</v>
      </c>
      <c r="H108" s="566">
        <v>36</v>
      </c>
      <c r="I108" s="566"/>
      <c r="J108" s="556">
        <v>47</v>
      </c>
      <c r="K108" s="556">
        <v>90</v>
      </c>
      <c r="L108" s="556">
        <v>802</v>
      </c>
      <c r="M108" s="556"/>
    </row>
    <row r="109" spans="1:13">
      <c r="A109" s="566" t="s">
        <v>94</v>
      </c>
      <c r="B109" s="556">
        <v>2588</v>
      </c>
      <c r="C109" s="556"/>
      <c r="D109" s="566">
        <v>190</v>
      </c>
      <c r="E109" s="566">
        <v>1810</v>
      </c>
      <c r="F109" s="566">
        <v>310</v>
      </c>
      <c r="G109" s="566">
        <v>217</v>
      </c>
      <c r="H109" s="566">
        <v>61</v>
      </c>
      <c r="I109" s="566"/>
      <c r="J109" s="556">
        <v>158</v>
      </c>
      <c r="K109" s="556">
        <v>324</v>
      </c>
      <c r="L109" s="556">
        <v>2106</v>
      </c>
      <c r="M109" s="556"/>
    </row>
    <row r="110" spans="1:13">
      <c r="A110" s="566" t="s">
        <v>95</v>
      </c>
      <c r="B110" s="578">
        <v>504</v>
      </c>
      <c r="C110" s="556"/>
      <c r="D110" s="566">
        <v>38</v>
      </c>
      <c r="E110" s="579">
        <v>304</v>
      </c>
      <c r="F110" s="566">
        <v>83</v>
      </c>
      <c r="G110" s="566">
        <v>52</v>
      </c>
      <c r="H110" s="566">
        <v>27</v>
      </c>
      <c r="I110" s="566"/>
      <c r="J110" s="556">
        <v>31</v>
      </c>
      <c r="K110" s="556">
        <v>49</v>
      </c>
      <c r="L110" s="578">
        <v>424</v>
      </c>
      <c r="M110" s="556"/>
    </row>
    <row r="111" spans="1:13">
      <c r="A111" s="566" t="s">
        <v>96</v>
      </c>
      <c r="B111" s="556">
        <v>507</v>
      </c>
      <c r="C111" s="556"/>
      <c r="D111" s="566">
        <v>37</v>
      </c>
      <c r="E111" s="566">
        <v>348</v>
      </c>
      <c r="F111" s="566">
        <v>55</v>
      </c>
      <c r="G111" s="566">
        <v>46</v>
      </c>
      <c r="H111" s="566">
        <v>21</v>
      </c>
      <c r="I111" s="566"/>
      <c r="J111" s="556">
        <v>32</v>
      </c>
      <c r="K111" s="556">
        <v>55</v>
      </c>
      <c r="L111" s="556">
        <v>420</v>
      </c>
      <c r="M111" s="556"/>
    </row>
    <row r="112" spans="1:13">
      <c r="A112" s="566" t="s">
        <v>97</v>
      </c>
      <c r="B112" s="556">
        <v>1628</v>
      </c>
      <c r="C112" s="556"/>
      <c r="D112" s="566">
        <v>108</v>
      </c>
      <c r="E112" s="566">
        <v>1151</v>
      </c>
      <c r="F112" s="566">
        <v>185</v>
      </c>
      <c r="G112" s="566">
        <v>138</v>
      </c>
      <c r="H112" s="566">
        <v>46</v>
      </c>
      <c r="I112" s="566"/>
      <c r="J112" s="556">
        <v>97</v>
      </c>
      <c r="K112" s="556">
        <v>194</v>
      </c>
      <c r="L112" s="556">
        <v>1337</v>
      </c>
      <c r="M112" s="556"/>
    </row>
    <row r="113" spans="1:13">
      <c r="A113" s="566" t="s">
        <v>98</v>
      </c>
      <c r="B113" s="578">
        <v>5610</v>
      </c>
      <c r="C113" s="556"/>
      <c r="D113" s="566">
        <v>535</v>
      </c>
      <c r="E113" s="579">
        <v>4202</v>
      </c>
      <c r="F113" s="566">
        <v>503</v>
      </c>
      <c r="G113" s="566">
        <v>288</v>
      </c>
      <c r="H113" s="566">
        <v>82</v>
      </c>
      <c r="I113" s="566"/>
      <c r="J113" s="556">
        <v>456</v>
      </c>
      <c r="K113" s="556">
        <v>778</v>
      </c>
      <c r="L113" s="578">
        <v>4376</v>
      </c>
      <c r="M113" s="556"/>
    </row>
    <row r="114" spans="1:13">
      <c r="A114" s="566" t="s">
        <v>99</v>
      </c>
      <c r="B114" s="578">
        <v>306</v>
      </c>
      <c r="C114" s="556"/>
      <c r="D114" s="566">
        <v>15</v>
      </c>
      <c r="E114" s="579">
        <v>165</v>
      </c>
      <c r="F114" s="566">
        <v>70</v>
      </c>
      <c r="G114" s="566">
        <v>31</v>
      </c>
      <c r="H114" s="566">
        <v>25</v>
      </c>
      <c r="I114" s="566"/>
      <c r="J114" s="556">
        <v>13</v>
      </c>
      <c r="K114" s="556">
        <v>19</v>
      </c>
      <c r="L114" s="578">
        <v>274</v>
      </c>
      <c r="M114" s="556"/>
    </row>
    <row r="115" spans="1:13">
      <c r="A115" s="566" t="s">
        <v>100</v>
      </c>
      <c r="B115" s="556">
        <v>223</v>
      </c>
      <c r="C115" s="556"/>
      <c r="D115" s="566">
        <v>6</v>
      </c>
      <c r="E115" s="566">
        <v>134</v>
      </c>
      <c r="F115" s="566">
        <v>35</v>
      </c>
      <c r="G115" s="566">
        <v>35</v>
      </c>
      <c r="H115" s="566">
        <v>13</v>
      </c>
      <c r="I115" s="566"/>
      <c r="J115" s="556">
        <v>6</v>
      </c>
      <c r="K115" s="556">
        <v>4</v>
      </c>
      <c r="L115" s="556">
        <v>213</v>
      </c>
      <c r="M115" s="556"/>
    </row>
    <row r="116" spans="1:13">
      <c r="A116" s="566" t="s">
        <v>101</v>
      </c>
      <c r="B116" s="556">
        <v>2131</v>
      </c>
      <c r="C116" s="556"/>
      <c r="D116" s="566">
        <v>204</v>
      </c>
      <c r="E116" s="566">
        <v>1512</v>
      </c>
      <c r="F116" s="566">
        <v>230</v>
      </c>
      <c r="G116" s="566">
        <v>149</v>
      </c>
      <c r="H116" s="566">
        <v>36</v>
      </c>
      <c r="I116" s="566"/>
      <c r="J116" s="556">
        <v>170</v>
      </c>
      <c r="K116" s="556">
        <v>313</v>
      </c>
      <c r="L116" s="556">
        <v>1648</v>
      </c>
      <c r="M116" s="556"/>
    </row>
    <row r="117" spans="1:13">
      <c r="A117" s="566" t="s">
        <v>102</v>
      </c>
      <c r="B117" s="578">
        <v>360</v>
      </c>
      <c r="C117" s="556"/>
      <c r="D117" s="566">
        <v>15</v>
      </c>
      <c r="E117" s="579">
        <v>240</v>
      </c>
      <c r="F117" s="566">
        <v>49</v>
      </c>
      <c r="G117" s="566">
        <v>43</v>
      </c>
      <c r="H117" s="566">
        <v>13</v>
      </c>
      <c r="I117" s="566"/>
      <c r="J117" s="556">
        <v>13</v>
      </c>
      <c r="K117" s="556">
        <v>43</v>
      </c>
      <c r="L117" s="578">
        <v>304</v>
      </c>
      <c r="M117" s="556"/>
    </row>
    <row r="118" spans="1:13">
      <c r="A118" s="566" t="s">
        <v>103</v>
      </c>
      <c r="B118" s="556">
        <v>1793</v>
      </c>
      <c r="C118" s="556"/>
      <c r="D118" s="566">
        <v>115</v>
      </c>
      <c r="E118" s="566">
        <v>1205</v>
      </c>
      <c r="F118" s="566">
        <v>251</v>
      </c>
      <c r="G118" s="566">
        <v>142</v>
      </c>
      <c r="H118" s="566">
        <v>80</v>
      </c>
      <c r="I118" s="566"/>
      <c r="J118" s="556">
        <v>93</v>
      </c>
      <c r="K118" s="556">
        <v>229</v>
      </c>
      <c r="L118" s="556">
        <v>1471</v>
      </c>
      <c r="M118" s="556"/>
    </row>
    <row r="119" spans="1:13">
      <c r="A119" s="566" t="s">
        <v>104</v>
      </c>
      <c r="B119" s="578">
        <v>111</v>
      </c>
      <c r="C119" s="556"/>
      <c r="D119" s="566">
        <v>11</v>
      </c>
      <c r="E119" s="579">
        <v>62</v>
      </c>
      <c r="F119" s="566">
        <v>20</v>
      </c>
      <c r="G119" s="566">
        <v>14</v>
      </c>
      <c r="H119" s="566">
        <v>4</v>
      </c>
      <c r="I119" s="566"/>
      <c r="J119" s="556">
        <v>8</v>
      </c>
      <c r="K119" s="556">
        <v>12</v>
      </c>
      <c r="L119" s="578">
        <v>91</v>
      </c>
      <c r="M119" s="556"/>
    </row>
    <row r="120" spans="1:13">
      <c r="A120" s="566" t="s">
        <v>105</v>
      </c>
      <c r="B120" s="556">
        <v>1001</v>
      </c>
      <c r="C120" s="556"/>
      <c r="D120" s="577">
        <v>64</v>
      </c>
      <c r="E120" s="566">
        <v>656</v>
      </c>
      <c r="F120" s="566">
        <v>155</v>
      </c>
      <c r="G120" s="566">
        <v>97</v>
      </c>
      <c r="H120" s="566">
        <v>29</v>
      </c>
      <c r="I120" s="566"/>
      <c r="J120" s="580">
        <v>52</v>
      </c>
      <c r="K120" s="556">
        <v>112</v>
      </c>
      <c r="L120" s="556">
        <v>837</v>
      </c>
      <c r="M120" s="556"/>
    </row>
    <row r="121" spans="1:13">
      <c r="A121" s="566" t="s">
        <v>106</v>
      </c>
      <c r="B121" s="578">
        <v>451</v>
      </c>
      <c r="C121" s="556"/>
      <c r="D121" s="566">
        <v>46</v>
      </c>
      <c r="E121" s="566">
        <v>281</v>
      </c>
      <c r="F121" s="566">
        <v>64</v>
      </c>
      <c r="G121" s="566">
        <v>34</v>
      </c>
      <c r="H121" s="566">
        <v>26</v>
      </c>
      <c r="I121" s="566"/>
      <c r="J121" s="556">
        <v>40</v>
      </c>
      <c r="K121" s="556">
        <v>42</v>
      </c>
      <c r="L121" s="556">
        <v>369</v>
      </c>
      <c r="M121" s="556"/>
    </row>
    <row r="122" spans="1:13">
      <c r="A122" s="566" t="s">
        <v>107</v>
      </c>
      <c r="B122" s="556">
        <v>11757</v>
      </c>
      <c r="C122" s="556"/>
      <c r="D122" s="566">
        <v>653</v>
      </c>
      <c r="E122" s="566">
        <v>8049</v>
      </c>
      <c r="F122" s="566">
        <v>1564</v>
      </c>
      <c r="G122" s="566">
        <v>1095</v>
      </c>
      <c r="H122" s="566">
        <v>396</v>
      </c>
      <c r="I122" s="566"/>
      <c r="J122" s="556">
        <v>525</v>
      </c>
      <c r="K122" s="556">
        <v>1231</v>
      </c>
      <c r="L122" s="556">
        <v>10001</v>
      </c>
      <c r="M122" s="556"/>
    </row>
    <row r="123" spans="1:13">
      <c r="A123" s="566" t="s">
        <v>376</v>
      </c>
      <c r="B123" s="578">
        <v>18602</v>
      </c>
      <c r="C123" s="556"/>
      <c r="D123" s="566">
        <v>1452</v>
      </c>
      <c r="E123" s="579">
        <v>12965</v>
      </c>
      <c r="F123" s="579">
        <v>2239</v>
      </c>
      <c r="G123" s="579">
        <v>1431</v>
      </c>
      <c r="H123" s="566">
        <v>515</v>
      </c>
      <c r="I123" s="566"/>
      <c r="J123" s="556">
        <v>1227</v>
      </c>
      <c r="K123" s="578">
        <v>2298</v>
      </c>
      <c r="L123" s="578">
        <v>15077</v>
      </c>
      <c r="M123" s="556"/>
    </row>
    <row r="124" spans="1:13">
      <c r="A124" s="566" t="s">
        <v>377</v>
      </c>
      <c r="B124" s="579">
        <v>16557</v>
      </c>
      <c r="C124" s="566"/>
      <c r="D124" s="579">
        <v>1324</v>
      </c>
      <c r="E124" s="579">
        <v>11736</v>
      </c>
      <c r="F124" s="579">
        <v>1884</v>
      </c>
      <c r="G124" s="579">
        <v>1209</v>
      </c>
      <c r="H124" s="566">
        <v>404</v>
      </c>
      <c r="I124" s="566"/>
      <c r="J124" s="579">
        <v>1118</v>
      </c>
      <c r="K124" s="579">
        <v>2138</v>
      </c>
      <c r="L124" s="579">
        <v>13301</v>
      </c>
      <c r="M124" s="556"/>
    </row>
    <row r="125" spans="1:13">
      <c r="A125" s="566" t="s">
        <v>378</v>
      </c>
      <c r="B125" s="579">
        <v>2045</v>
      </c>
      <c r="C125" s="566"/>
      <c r="D125" s="579">
        <v>128</v>
      </c>
      <c r="E125" s="579">
        <v>1229</v>
      </c>
      <c r="F125" s="579">
        <v>355</v>
      </c>
      <c r="G125" s="579">
        <v>222</v>
      </c>
      <c r="H125" s="566">
        <v>111</v>
      </c>
      <c r="I125" s="566"/>
      <c r="J125" s="579">
        <v>109</v>
      </c>
      <c r="K125" s="579">
        <v>160</v>
      </c>
      <c r="L125" s="579">
        <v>1776</v>
      </c>
      <c r="M125" s="556"/>
    </row>
    <row r="126" spans="1:13">
      <c r="A126" s="566" t="s">
        <v>108</v>
      </c>
      <c r="B126" s="579">
        <v>30359</v>
      </c>
      <c r="C126" s="566"/>
      <c r="D126" s="566">
        <v>2105</v>
      </c>
      <c r="E126" s="579">
        <v>21014</v>
      </c>
      <c r="F126" s="566">
        <v>3803</v>
      </c>
      <c r="G126" s="566">
        <v>2526</v>
      </c>
      <c r="H126" s="566">
        <v>911</v>
      </c>
      <c r="I126" s="566"/>
      <c r="J126" s="566">
        <v>1752</v>
      </c>
      <c r="K126" s="566">
        <v>3529</v>
      </c>
      <c r="L126" s="579">
        <v>25078</v>
      </c>
      <c r="M126" s="556"/>
    </row>
    <row r="127" spans="1:13">
      <c r="A127" s="576" t="s">
        <v>610</v>
      </c>
      <c r="B127" s="581"/>
      <c r="C127" s="576"/>
      <c r="D127" s="581"/>
      <c r="E127" s="581"/>
      <c r="F127" s="581"/>
      <c r="G127" s="581"/>
      <c r="H127" s="576"/>
      <c r="I127" s="576"/>
      <c r="J127" s="581"/>
      <c r="K127" s="581"/>
      <c r="L127" s="581"/>
      <c r="M127" s="556"/>
    </row>
    <row r="128" spans="1:13">
      <c r="A128" s="576" t="s">
        <v>92</v>
      </c>
      <c r="B128" s="566">
        <v>100</v>
      </c>
      <c r="C128" s="566"/>
      <c r="D128" s="588">
        <v>2.666666666666667</v>
      </c>
      <c r="E128" s="589">
        <v>62.888888888888893</v>
      </c>
      <c r="F128" s="589">
        <v>18.444444444444443</v>
      </c>
      <c r="G128" s="589">
        <v>12.444444444444445</v>
      </c>
      <c r="H128" s="589">
        <v>3.5555555555555554</v>
      </c>
      <c r="I128" s="556"/>
      <c r="J128" s="590">
        <v>2.4444444444444446</v>
      </c>
      <c r="K128" s="590">
        <v>7.5555555555555554</v>
      </c>
      <c r="L128" s="590">
        <v>90</v>
      </c>
      <c r="M128" s="556"/>
    </row>
    <row r="129" spans="1:13">
      <c r="A129" s="566" t="s">
        <v>93</v>
      </c>
      <c r="B129" s="566">
        <v>100</v>
      </c>
      <c r="C129" s="566"/>
      <c r="D129" s="588">
        <v>5.9637912673056448</v>
      </c>
      <c r="E129" s="588">
        <v>65.175718849840251</v>
      </c>
      <c r="F129" s="588">
        <v>15.54845580404686</v>
      </c>
      <c r="G129" s="588">
        <v>9.4781682641107565</v>
      </c>
      <c r="H129" s="588">
        <v>3.8338658146964857</v>
      </c>
      <c r="I129" s="566"/>
      <c r="J129" s="588">
        <v>5.0053248136315229</v>
      </c>
      <c r="K129" s="588">
        <v>9.5846645367412133</v>
      </c>
      <c r="L129" s="588">
        <v>85.410010649627267</v>
      </c>
      <c r="M129" s="556"/>
    </row>
    <row r="130" spans="1:13">
      <c r="A130" s="566" t="s">
        <v>94</v>
      </c>
      <c r="B130" s="566">
        <v>100</v>
      </c>
      <c r="C130" s="566"/>
      <c r="D130" s="588">
        <v>7.3415765069551773</v>
      </c>
      <c r="E130" s="588">
        <v>69.938176197836171</v>
      </c>
      <c r="F130" s="588">
        <v>11.978361669242659</v>
      </c>
      <c r="G130" s="588">
        <v>8.38485316846986</v>
      </c>
      <c r="H130" s="588">
        <v>2.3570324574961359</v>
      </c>
      <c r="I130" s="566"/>
      <c r="J130" s="588">
        <v>6.1051004636785162</v>
      </c>
      <c r="K130" s="588">
        <v>12.519319938176199</v>
      </c>
      <c r="L130" s="588">
        <v>81.375579598145293</v>
      </c>
      <c r="M130" s="556"/>
    </row>
    <row r="131" spans="1:13">
      <c r="A131" s="566" t="s">
        <v>95</v>
      </c>
      <c r="B131" s="566">
        <v>100.00000000000001</v>
      </c>
      <c r="C131" s="566"/>
      <c r="D131" s="588">
        <v>7.5396825396825395</v>
      </c>
      <c r="E131" s="588">
        <v>60.317460317460316</v>
      </c>
      <c r="F131" s="588">
        <v>16.468253968253968</v>
      </c>
      <c r="G131" s="588">
        <v>10.317460317460316</v>
      </c>
      <c r="H131" s="588">
        <v>5.3571428571428568</v>
      </c>
      <c r="I131" s="566"/>
      <c r="J131" s="588">
        <v>6.1507936507936503</v>
      </c>
      <c r="K131" s="588">
        <v>9.7222222222222232</v>
      </c>
      <c r="L131" s="588">
        <v>84.126984126984127</v>
      </c>
      <c r="M131" s="556"/>
    </row>
    <row r="132" spans="1:13">
      <c r="A132" s="566" t="s">
        <v>96</v>
      </c>
      <c r="B132" s="566">
        <v>100</v>
      </c>
      <c r="C132" s="566"/>
      <c r="D132" s="588">
        <v>7.2978303747534516</v>
      </c>
      <c r="E132" s="588">
        <v>68.639053254437869</v>
      </c>
      <c r="F132" s="588">
        <v>10.848126232741617</v>
      </c>
      <c r="G132" s="588">
        <v>9.0729783037475347</v>
      </c>
      <c r="H132" s="588">
        <v>4.1420118343195274</v>
      </c>
      <c r="I132" s="566"/>
      <c r="J132" s="588">
        <v>6.3116370808678504</v>
      </c>
      <c r="K132" s="588">
        <v>10.848126232741617</v>
      </c>
      <c r="L132" s="588">
        <v>82.84023668639054</v>
      </c>
      <c r="M132" s="556"/>
    </row>
    <row r="133" spans="1:13">
      <c r="A133" s="566" t="s">
        <v>97</v>
      </c>
      <c r="B133" s="566">
        <v>99.999999999999986</v>
      </c>
      <c r="C133" s="566"/>
      <c r="D133" s="588">
        <v>6.6339066339066335</v>
      </c>
      <c r="E133" s="588">
        <v>70.700245700245702</v>
      </c>
      <c r="F133" s="588">
        <v>11.363636363636363</v>
      </c>
      <c r="G133" s="588">
        <v>8.4766584766584767</v>
      </c>
      <c r="H133" s="588">
        <v>2.8255528255528257</v>
      </c>
      <c r="I133" s="566"/>
      <c r="J133" s="588">
        <v>5.9582309582309581</v>
      </c>
      <c r="K133" s="588">
        <v>11.916461916461916</v>
      </c>
      <c r="L133" s="588">
        <v>82.125307125307117</v>
      </c>
      <c r="M133" s="556"/>
    </row>
    <row r="134" spans="1:13">
      <c r="A134" s="566" t="s">
        <v>98</v>
      </c>
      <c r="B134" s="566">
        <v>100.00000000000001</v>
      </c>
      <c r="C134" s="566"/>
      <c r="D134" s="588">
        <v>9.5365418894830665</v>
      </c>
      <c r="E134" s="588">
        <v>74.901960784313729</v>
      </c>
      <c r="F134" s="588">
        <v>8.9661319073083785</v>
      </c>
      <c r="G134" s="588">
        <v>5.1336898395721926</v>
      </c>
      <c r="H134" s="588">
        <v>1.4616755793226381</v>
      </c>
      <c r="I134" s="566"/>
      <c r="J134" s="588">
        <v>8.1283422459893053</v>
      </c>
      <c r="K134" s="588">
        <v>13.868092691622103</v>
      </c>
      <c r="L134" s="588">
        <v>78.003565062388589</v>
      </c>
      <c r="M134" s="556"/>
    </row>
    <row r="135" spans="1:13">
      <c r="A135" s="566" t="s">
        <v>99</v>
      </c>
      <c r="B135" s="566">
        <v>100</v>
      </c>
      <c r="C135" s="566"/>
      <c r="D135" s="588">
        <v>4.9019607843137258</v>
      </c>
      <c r="E135" s="588">
        <v>53.921568627450981</v>
      </c>
      <c r="F135" s="588">
        <v>22.875816993464053</v>
      </c>
      <c r="G135" s="588">
        <v>10.130718954248366</v>
      </c>
      <c r="H135" s="588">
        <v>8.1699346405228752</v>
      </c>
      <c r="I135" s="566"/>
      <c r="J135" s="588">
        <v>4.2483660130718954</v>
      </c>
      <c r="K135" s="588">
        <v>6.2091503267973858</v>
      </c>
      <c r="L135" s="588">
        <v>89.542483660130728</v>
      </c>
      <c r="M135" s="556"/>
    </row>
    <row r="136" spans="1:13">
      <c r="A136" s="566" t="s">
        <v>100</v>
      </c>
      <c r="B136" s="566">
        <v>100</v>
      </c>
      <c r="C136" s="566"/>
      <c r="D136" s="588">
        <v>2.6905829596412558</v>
      </c>
      <c r="E136" s="588">
        <v>60.089686098654703</v>
      </c>
      <c r="F136" s="588">
        <v>15.695067264573993</v>
      </c>
      <c r="G136" s="588">
        <v>15.695067264573993</v>
      </c>
      <c r="H136" s="588">
        <v>5.8295964125560538</v>
      </c>
      <c r="I136" s="566"/>
      <c r="J136" s="588">
        <v>2.6905829596412558</v>
      </c>
      <c r="K136" s="588">
        <v>1.7937219730941705</v>
      </c>
      <c r="L136" s="588">
        <v>95.515695067264573</v>
      </c>
      <c r="M136" s="556"/>
    </row>
    <row r="137" spans="1:13">
      <c r="A137" s="566" t="s">
        <v>101</v>
      </c>
      <c r="B137" s="566">
        <v>100.00000000000001</v>
      </c>
      <c r="C137" s="566"/>
      <c r="D137" s="588">
        <v>9.5729704364148294</v>
      </c>
      <c r="E137" s="588">
        <v>70.952604411074617</v>
      </c>
      <c r="F137" s="588">
        <v>10.793054903801032</v>
      </c>
      <c r="G137" s="588">
        <v>6.9920225246363206</v>
      </c>
      <c r="H137" s="588">
        <v>1.6893477240732049</v>
      </c>
      <c r="I137" s="566"/>
      <c r="J137" s="588">
        <v>7.9774753636790239</v>
      </c>
      <c r="K137" s="588">
        <v>14.687939934303143</v>
      </c>
      <c r="L137" s="588">
        <v>77.334584702017821</v>
      </c>
      <c r="M137" s="556"/>
    </row>
    <row r="138" spans="1:13">
      <c r="A138" s="566" t="s">
        <v>102</v>
      </c>
      <c r="B138" s="566">
        <v>100</v>
      </c>
      <c r="C138" s="566"/>
      <c r="D138" s="588">
        <v>4.1666666666666661</v>
      </c>
      <c r="E138" s="588">
        <v>66.666666666666657</v>
      </c>
      <c r="F138" s="588">
        <v>13.611111111111111</v>
      </c>
      <c r="G138" s="588">
        <v>11.944444444444445</v>
      </c>
      <c r="H138" s="588">
        <v>3.6111111111111107</v>
      </c>
      <c r="I138" s="566"/>
      <c r="J138" s="588">
        <v>3.6111111111111107</v>
      </c>
      <c r="K138" s="588">
        <v>11.944444444444445</v>
      </c>
      <c r="L138" s="588">
        <v>84.444444444444443</v>
      </c>
      <c r="M138" s="556"/>
    </row>
    <row r="139" spans="1:13">
      <c r="A139" s="566" t="s">
        <v>103</v>
      </c>
      <c r="B139" s="566">
        <v>100</v>
      </c>
      <c r="C139" s="566"/>
      <c r="D139" s="588">
        <v>6.4138315672058006</v>
      </c>
      <c r="E139" s="588">
        <v>67.205800334634688</v>
      </c>
      <c r="F139" s="588">
        <v>13.998884551031789</v>
      </c>
      <c r="G139" s="588">
        <v>7.9196876742889017</v>
      </c>
      <c r="H139" s="588">
        <v>4.4617958728388176</v>
      </c>
      <c r="I139" s="566"/>
      <c r="J139" s="588">
        <v>5.1868377021751257</v>
      </c>
      <c r="K139" s="588">
        <v>12.771890686001116</v>
      </c>
      <c r="L139" s="588">
        <v>82.04127161182376</v>
      </c>
      <c r="M139" s="556"/>
    </row>
    <row r="140" spans="1:13">
      <c r="A140" s="566" t="s">
        <v>104</v>
      </c>
      <c r="B140" s="566">
        <v>99.999999999999986</v>
      </c>
      <c r="C140" s="566"/>
      <c r="D140" s="588">
        <v>9.9099099099099099</v>
      </c>
      <c r="E140" s="588">
        <v>55.85585585585585</v>
      </c>
      <c r="F140" s="588">
        <v>18.018018018018019</v>
      </c>
      <c r="G140" s="588">
        <v>12.612612612612612</v>
      </c>
      <c r="H140" s="588">
        <v>3.6036036036036037</v>
      </c>
      <c r="I140" s="566"/>
      <c r="J140" s="588">
        <v>7.2072072072072073</v>
      </c>
      <c r="K140" s="588">
        <v>10.810810810810811</v>
      </c>
      <c r="L140" s="588">
        <v>81.981981981981974</v>
      </c>
      <c r="M140" s="556"/>
    </row>
    <row r="141" spans="1:13">
      <c r="A141" s="566" t="s">
        <v>105</v>
      </c>
      <c r="B141" s="566">
        <v>100</v>
      </c>
      <c r="C141" s="566"/>
      <c r="D141" s="589">
        <v>6.3936063936063938</v>
      </c>
      <c r="E141" s="588">
        <v>65.534465534465539</v>
      </c>
      <c r="F141" s="588">
        <v>15.484515484515486</v>
      </c>
      <c r="G141" s="588">
        <v>9.6903096903096895</v>
      </c>
      <c r="H141" s="588">
        <v>2.8971028971028971</v>
      </c>
      <c r="I141" s="566"/>
      <c r="J141" s="589">
        <v>5.1948051948051948</v>
      </c>
      <c r="K141" s="588">
        <v>11.188811188811188</v>
      </c>
      <c r="L141" s="588">
        <v>83.616383616383615</v>
      </c>
      <c r="M141" s="556"/>
    </row>
    <row r="142" spans="1:13">
      <c r="A142" s="566" t="s">
        <v>106</v>
      </c>
      <c r="B142" s="566">
        <v>99.999999999999986</v>
      </c>
      <c r="C142" s="566"/>
      <c r="D142" s="588">
        <v>10.199556541019955</v>
      </c>
      <c r="E142" s="588">
        <v>62.305986696230597</v>
      </c>
      <c r="F142" s="588">
        <v>14.190687361419069</v>
      </c>
      <c r="G142" s="588">
        <v>7.5388026607538805</v>
      </c>
      <c r="H142" s="588">
        <v>5.7649667405764964</v>
      </c>
      <c r="I142" s="566"/>
      <c r="J142" s="588">
        <v>8.8691796008869179</v>
      </c>
      <c r="K142" s="588">
        <v>9.3126385809312637</v>
      </c>
      <c r="L142" s="588">
        <v>81.818181818181827</v>
      </c>
      <c r="M142" s="556"/>
    </row>
    <row r="143" spans="1:13">
      <c r="A143" s="566" t="s">
        <v>107</v>
      </c>
      <c r="B143" s="566">
        <v>99.999999999999986</v>
      </c>
      <c r="C143" s="566"/>
      <c r="D143" s="588">
        <v>5.554137960364038</v>
      </c>
      <c r="E143" s="588">
        <v>68.461342179127328</v>
      </c>
      <c r="F143" s="588">
        <v>13.302713277196565</v>
      </c>
      <c r="G143" s="588">
        <v>9.3136004082674155</v>
      </c>
      <c r="H143" s="588">
        <v>3.3682061750446546</v>
      </c>
      <c r="I143" s="566"/>
      <c r="J143" s="588">
        <v>4.4654248532788978</v>
      </c>
      <c r="K143" s="588">
        <v>10.470358084545376</v>
      </c>
      <c r="L143" s="588">
        <v>85.064217062175729</v>
      </c>
      <c r="M143" s="556"/>
    </row>
    <row r="144" spans="1:13">
      <c r="A144" s="566" t="s">
        <v>376</v>
      </c>
      <c r="B144" s="566">
        <v>99.999999999999986</v>
      </c>
      <c r="C144" s="566"/>
      <c r="D144" s="588">
        <v>7.8056122997527151</v>
      </c>
      <c r="E144" s="588">
        <v>69.696806794968282</v>
      </c>
      <c r="F144" s="588">
        <v>12.036340178475433</v>
      </c>
      <c r="G144" s="588">
        <v>7.6927212127728195</v>
      </c>
      <c r="H144" s="588">
        <v>2.7685195140307495</v>
      </c>
      <c r="I144" s="566"/>
      <c r="J144" s="588">
        <v>6.5960649392538446</v>
      </c>
      <c r="K144" s="588">
        <v>12.353510375228471</v>
      </c>
      <c r="L144" s="588">
        <v>81.050424685517683</v>
      </c>
      <c r="M144" s="556"/>
    </row>
    <row r="145" spans="1:13">
      <c r="A145" s="566" t="s">
        <v>377</v>
      </c>
      <c r="B145" s="566">
        <v>100</v>
      </c>
      <c r="C145" s="566"/>
      <c r="D145" s="588">
        <v>7.996617744760524</v>
      </c>
      <c r="E145" s="588">
        <v>70.882406233013228</v>
      </c>
      <c r="F145" s="588">
        <v>11.378872984236274</v>
      </c>
      <c r="G145" s="588">
        <v>7.3020474723681827</v>
      </c>
      <c r="H145" s="588">
        <v>2.4400555656217913</v>
      </c>
      <c r="I145" s="566"/>
      <c r="J145" s="588">
        <v>6.7524309959533735</v>
      </c>
      <c r="K145" s="588">
        <v>12.912967324998489</v>
      </c>
      <c r="L145" s="588">
        <v>80.334601679048134</v>
      </c>
      <c r="M145" s="556"/>
    </row>
    <row r="146" spans="1:13">
      <c r="A146" s="566" t="s">
        <v>378</v>
      </c>
      <c r="B146" s="566">
        <v>100</v>
      </c>
      <c r="C146" s="566"/>
      <c r="D146" s="588">
        <v>6.2591687041564787</v>
      </c>
      <c r="E146" s="588">
        <v>60.097799511002449</v>
      </c>
      <c r="F146" s="588">
        <v>17.359413202933986</v>
      </c>
      <c r="G146" s="588">
        <v>10.855745721271393</v>
      </c>
      <c r="H146" s="588">
        <v>5.4278728606356967</v>
      </c>
      <c r="I146" s="566"/>
      <c r="J146" s="588">
        <v>5.3300733496332517</v>
      </c>
      <c r="K146" s="588">
        <v>7.8239608801955987</v>
      </c>
      <c r="L146" s="588">
        <v>86.845965770171148</v>
      </c>
      <c r="M146" s="556"/>
    </row>
    <row r="147" spans="1:13">
      <c r="A147" s="566" t="s">
        <v>108</v>
      </c>
      <c r="B147" s="566">
        <v>100</v>
      </c>
      <c r="C147" s="566"/>
      <c r="D147" s="588">
        <v>6.933693468164301</v>
      </c>
      <c r="E147" s="588">
        <v>69.218353700714786</v>
      </c>
      <c r="F147" s="588">
        <v>12.526763068612274</v>
      </c>
      <c r="G147" s="588">
        <v>8.3204321617971608</v>
      </c>
      <c r="H147" s="588">
        <v>3.000757600711486</v>
      </c>
      <c r="I147" s="566"/>
      <c r="J147" s="588">
        <v>5.7709410718403111</v>
      </c>
      <c r="K147" s="588">
        <v>11.624230047103001</v>
      </c>
      <c r="L147" s="588">
        <v>82.60482888105669</v>
      </c>
      <c r="M147" s="556"/>
    </row>
    <row r="148" spans="1:13" ht="15.75" thickBot="1">
      <c r="A148" s="582" t="s">
        <v>611</v>
      </c>
      <c r="B148" s="583"/>
      <c r="C148" s="583"/>
      <c r="D148" s="583"/>
      <c r="E148" s="583"/>
      <c r="F148" s="583"/>
      <c r="G148" s="583"/>
      <c r="H148" s="583"/>
      <c r="I148" s="583"/>
      <c r="J148" s="583"/>
      <c r="K148" s="583"/>
      <c r="L148" s="583"/>
      <c r="M148" s="556"/>
    </row>
    <row r="149" spans="1:13">
      <c r="A149" s="584" t="s">
        <v>612</v>
      </c>
      <c r="B149" s="566"/>
      <c r="C149" s="568"/>
      <c r="D149" s="568"/>
      <c r="E149" s="568"/>
      <c r="F149" s="568"/>
      <c r="G149" s="568"/>
      <c r="H149" s="568"/>
      <c r="I149" s="557"/>
      <c r="J149" s="557"/>
      <c r="K149" s="566"/>
      <c r="L149" s="566"/>
      <c r="M149" s="556"/>
    </row>
    <row r="150" spans="1:13">
      <c r="A150" s="584" t="s">
        <v>613</v>
      </c>
      <c r="B150" s="566"/>
      <c r="C150" s="566"/>
      <c r="D150" s="566"/>
      <c r="E150" s="566"/>
      <c r="F150" s="566"/>
      <c r="G150" s="566"/>
      <c r="H150" s="566"/>
      <c r="I150" s="556"/>
      <c r="J150" s="556"/>
      <c r="K150" s="566"/>
      <c r="L150" s="566"/>
      <c r="M150" s="556"/>
    </row>
    <row r="151" spans="1:13">
      <c r="A151" s="584" t="s">
        <v>614</v>
      </c>
      <c r="B151" s="556"/>
      <c r="C151" s="556"/>
      <c r="D151" s="556"/>
      <c r="E151" s="566"/>
      <c r="F151" s="566"/>
      <c r="G151" s="556"/>
      <c r="H151" s="556"/>
      <c r="I151" s="556"/>
      <c r="J151" s="556"/>
      <c r="K151" s="556"/>
      <c r="L151" s="556"/>
      <c r="M151" s="556"/>
    </row>
    <row r="152" spans="1:13">
      <c r="A152" s="584" t="s">
        <v>614</v>
      </c>
      <c r="B152" s="556"/>
      <c r="C152" s="556"/>
      <c r="D152" s="556"/>
      <c r="E152" s="556"/>
      <c r="F152" s="556"/>
      <c r="G152" s="556"/>
      <c r="H152" s="556"/>
      <c r="I152" s="556"/>
      <c r="J152" s="556"/>
      <c r="K152" s="556"/>
      <c r="L152" s="556"/>
      <c r="M152" s="556"/>
    </row>
  </sheetData>
  <hyperlinks>
    <hyperlink ref="A2" r:id="rId1" xr:uid="{00000000-0004-0000-1700-000000000000}"/>
  </hyperlinks>
  <pageMargins left="0.7" right="0.7" top="0.75" bottom="0.75" header="0.3" footer="0.3"/>
  <pageSetup paperSize="9" orientation="landscape" r:id="rId2"/>
  <rowBreaks count="1" manualBreakCount="1">
    <brk id="24" max="16383" man="1"/>
  </rowBreak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
  <sheetViews>
    <sheetView topLeftCell="A10" workbookViewId="0">
      <selection activeCell="L50" sqref="L50"/>
    </sheetView>
  </sheetViews>
  <sheetFormatPr defaultRowHeight="15"/>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46081" r:id="rId4">
          <objectPr defaultSize="0" r:id="rId5">
            <anchor moveWithCells="1">
              <from>
                <xdr:col>5</xdr:col>
                <xdr:colOff>0</xdr:colOff>
                <xdr:row>4</xdr:row>
                <xdr:rowOff>0</xdr:rowOff>
              </from>
              <to>
                <xdr:col>12</xdr:col>
                <xdr:colOff>333375</xdr:colOff>
                <xdr:row>46</xdr:row>
                <xdr:rowOff>19050</xdr:rowOff>
              </to>
            </anchor>
          </objectPr>
        </oleObject>
      </mc:Choice>
      <mc:Fallback>
        <oleObject progId="Acrobat Document" shapeId="46081" r:id="rId4"/>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
  <sheetViews>
    <sheetView topLeftCell="A19" workbookViewId="0">
      <selection activeCell="K21" sqref="K21"/>
    </sheetView>
  </sheetViews>
  <sheetFormatPr defaultRowHeight="15"/>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pdfxml.1" shapeId="47105" r:id="rId4">
          <objectPr defaultSize="0" r:id="rId5">
            <anchor moveWithCells="1">
              <from>
                <xdr:col>3</xdr:col>
                <xdr:colOff>0</xdr:colOff>
                <xdr:row>7</xdr:row>
                <xdr:rowOff>0</xdr:rowOff>
              </from>
              <to>
                <xdr:col>10</xdr:col>
                <xdr:colOff>333375</xdr:colOff>
                <xdr:row>49</xdr:row>
                <xdr:rowOff>19050</xdr:rowOff>
              </to>
            </anchor>
          </objectPr>
        </oleObject>
      </mc:Choice>
      <mc:Fallback>
        <oleObject progId="AcroExch.pdfxml.1" shapeId="47105"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3E3E5"/>
  </sheetPr>
  <dimension ref="A1:AB74"/>
  <sheetViews>
    <sheetView topLeftCell="A16" zoomScale="85" zoomScaleNormal="85" workbookViewId="0">
      <selection activeCell="D43" sqref="D43"/>
    </sheetView>
  </sheetViews>
  <sheetFormatPr defaultRowHeight="15"/>
  <cols>
    <col min="1" max="1" width="1.6640625" style="438" customWidth="1"/>
    <col min="2" max="2" width="15.77734375" customWidth="1"/>
    <col min="3" max="3" width="11.44140625" customWidth="1"/>
    <col min="4" max="4" width="9.33203125" customWidth="1"/>
    <col min="5" max="5" width="7.109375" customWidth="1"/>
    <col min="6" max="6" width="7.44140625" customWidth="1"/>
    <col min="7" max="7" width="6.33203125" customWidth="1"/>
    <col min="8" max="8" width="13.21875" customWidth="1"/>
    <col min="9" max="9" width="13.5546875" customWidth="1"/>
    <col min="10" max="10" width="12.6640625" customWidth="1"/>
    <col min="11" max="11" width="2.109375" customWidth="1"/>
    <col min="12" max="13" width="14.109375" customWidth="1"/>
    <col min="14" max="14" width="13.109375" customWidth="1"/>
    <col min="15" max="15" width="17.88671875" customWidth="1"/>
    <col min="16" max="16" width="11.88671875" customWidth="1"/>
    <col min="17" max="20" width="9.21875" style="438"/>
    <col min="22" max="22" width="9.77734375" customWidth="1"/>
    <col min="23" max="23" width="20.44140625" customWidth="1"/>
    <col min="25" max="27" width="9.21875" style="438"/>
  </cols>
  <sheetData>
    <row r="1" spans="2:28" s="438" customFormat="1" ht="15.75">
      <c r="B1" s="690" t="s">
        <v>73</v>
      </c>
    </row>
    <row r="2" spans="2:28" s="438" customFormat="1"/>
    <row r="3" spans="2:28" s="438" customFormat="1" ht="16.5" thickBot="1">
      <c r="B3" s="691" t="s">
        <v>74</v>
      </c>
      <c r="D3" s="692"/>
    </row>
    <row r="4" spans="2:28" s="438" customFormat="1" ht="20.25">
      <c r="B4" s="691"/>
      <c r="D4" s="692" t="s">
        <v>75</v>
      </c>
      <c r="U4" s="693"/>
      <c r="V4" s="694"/>
      <c r="W4" s="695" t="s">
        <v>76</v>
      </c>
    </row>
    <row r="5" spans="2:28" s="438" customFormat="1" ht="21" thickBot="1">
      <c r="B5" s="696"/>
      <c r="D5" s="697"/>
      <c r="G5" s="698"/>
      <c r="H5" s="698"/>
      <c r="I5" s="698"/>
      <c r="J5" s="698"/>
      <c r="K5" s="698"/>
      <c r="L5" s="698"/>
      <c r="M5" s="698"/>
      <c r="N5" s="698"/>
      <c r="U5" s="438">
        <v>2023</v>
      </c>
      <c r="V5" s="438">
        <v>2024</v>
      </c>
      <c r="W5" s="699" t="s">
        <v>77</v>
      </c>
    </row>
    <row r="6" spans="2:28" ht="77.25" customHeight="1" thickBot="1">
      <c r="B6" s="681"/>
      <c r="C6" s="682" t="s">
        <v>78</v>
      </c>
      <c r="D6" s="682" t="s">
        <v>79</v>
      </c>
      <c r="E6" s="682"/>
      <c r="F6" s="682" t="s">
        <v>80</v>
      </c>
      <c r="G6" s="682" t="s">
        <v>81</v>
      </c>
      <c r="H6" s="682" t="s">
        <v>82</v>
      </c>
      <c r="I6" s="682" t="s">
        <v>83</v>
      </c>
      <c r="J6" s="682" t="s">
        <v>84</v>
      </c>
      <c r="K6" s="683"/>
      <c r="L6" s="673" t="s">
        <v>85</v>
      </c>
      <c r="M6" s="674" t="s">
        <v>86</v>
      </c>
      <c r="N6" s="674" t="s">
        <v>87</v>
      </c>
      <c r="O6" s="675" t="s">
        <v>88</v>
      </c>
      <c r="P6" s="674"/>
      <c r="U6" s="87" t="s">
        <v>89</v>
      </c>
      <c r="V6" s="87" t="s">
        <v>89</v>
      </c>
      <c r="W6" s="653" t="s">
        <v>90</v>
      </c>
      <c r="X6" s="674"/>
      <c r="AB6" s="428" t="s">
        <v>91</v>
      </c>
    </row>
    <row r="7" spans="2:28" ht="21">
      <c r="B7" s="684" t="s">
        <v>92</v>
      </c>
      <c r="C7" s="775">
        <f>'Lsandelar totalt'!O7</f>
        <v>757211.82079999987</v>
      </c>
      <c r="D7" s="776"/>
      <c r="E7" s="776"/>
      <c r="F7" s="776"/>
      <c r="G7" s="776"/>
      <c r="H7" s="776">
        <f>'Kompensationer år 2024'!D7</f>
        <v>72478.080000000002</v>
      </c>
      <c r="I7" s="776">
        <f>'Kompensationer år 2024'!E7</f>
        <v>11394.4</v>
      </c>
      <c r="J7" s="776">
        <f>'Kompensationer år 2024'!G7</f>
        <v>98661.938959004096</v>
      </c>
      <c r="K7" s="777"/>
      <c r="L7" s="672">
        <f>SUM(C7)</f>
        <v>757211.82079999987</v>
      </c>
      <c r="M7" s="672">
        <f>SUM(C7:J7)</f>
        <v>939746.23975900398</v>
      </c>
      <c r="N7" s="672"/>
      <c r="O7" s="677">
        <f t="shared" ref="O7:O22" si="0">M7/AB7</f>
        <v>2088.3249772422309</v>
      </c>
      <c r="P7" s="679" t="s">
        <v>92</v>
      </c>
      <c r="U7" s="778">
        <v>951107.09628435632</v>
      </c>
      <c r="V7" s="778">
        <f t="shared" ref="V7:V22" si="1">M7</f>
        <v>939746.23975900398</v>
      </c>
      <c r="W7" s="657">
        <f t="shared" ref="W7:W21" si="2">V7-U7</f>
        <v>-11360.856525352341</v>
      </c>
      <c r="X7" s="679" t="s">
        <v>92</v>
      </c>
      <c r="AB7" s="427">
        <v>450</v>
      </c>
    </row>
    <row r="8" spans="2:28" ht="21">
      <c r="B8" s="684" t="s">
        <v>93</v>
      </c>
      <c r="C8" s="775">
        <f>'Lsandelar totalt'!O8</f>
        <v>2015839.4703999995</v>
      </c>
      <c r="D8" s="776"/>
      <c r="E8" s="776"/>
      <c r="F8" s="776"/>
      <c r="G8" s="776"/>
      <c r="H8" s="776">
        <f>'Kompensationer år 2024'!D8</f>
        <v>158244.82999999999</v>
      </c>
      <c r="I8" s="776">
        <f>'Kompensationer år 2024'!E8</f>
        <v>76317.919999999998</v>
      </c>
      <c r="J8" s="776">
        <f>'Kompensationer år 2024'!G8</f>
        <v>27748.963703370842</v>
      </c>
      <c r="K8" s="777"/>
      <c r="L8" s="672">
        <f t="shared" ref="L8:L22" si="3">SUM(C8)</f>
        <v>2015839.4703999995</v>
      </c>
      <c r="M8" s="672">
        <f t="shared" ref="M8:M22" si="4">SUM(C8:J8)</f>
        <v>2278151.1841033702</v>
      </c>
      <c r="N8" s="672"/>
      <c r="O8" s="677">
        <f t="shared" si="0"/>
        <v>2426.1460959567307</v>
      </c>
      <c r="P8" s="679" t="s">
        <v>93</v>
      </c>
      <c r="U8" s="778">
        <v>2195268.8674739935</v>
      </c>
      <c r="V8" s="778">
        <f t="shared" si="1"/>
        <v>2278151.1841033702</v>
      </c>
      <c r="W8" s="657">
        <f t="shared" si="2"/>
        <v>82882.316629376728</v>
      </c>
      <c r="X8" s="679" t="s">
        <v>93</v>
      </c>
      <c r="AB8" s="427">
        <v>939</v>
      </c>
    </row>
    <row r="9" spans="2:28" ht="21">
      <c r="B9" s="684" t="s">
        <v>94</v>
      </c>
      <c r="C9" s="775">
        <f>'Lsandelar totalt'!O9</f>
        <v>4145310.3209999995</v>
      </c>
      <c r="D9" s="776"/>
      <c r="E9" s="776"/>
      <c r="F9" s="776"/>
      <c r="G9" s="776"/>
      <c r="H9" s="776">
        <f>'Kompensationer år 2024'!D9</f>
        <v>390569.42</v>
      </c>
      <c r="I9" s="776">
        <f>'Kompensationer år 2024'!E9</f>
        <v>153819.49</v>
      </c>
      <c r="J9" s="776">
        <f>'Kompensationer år 2024'!G9</f>
        <v>207062.22362967423</v>
      </c>
      <c r="K9" s="777"/>
      <c r="L9" s="672">
        <f t="shared" si="3"/>
        <v>4145310.3209999995</v>
      </c>
      <c r="M9" s="672">
        <f t="shared" si="4"/>
        <v>4896761.4546296736</v>
      </c>
      <c r="N9" s="672"/>
      <c r="O9" s="677">
        <f t="shared" si="0"/>
        <v>1892.1025713406775</v>
      </c>
      <c r="P9" s="679" t="s">
        <v>94</v>
      </c>
      <c r="U9" s="778">
        <v>4735351.906320475</v>
      </c>
      <c r="V9" s="778">
        <f t="shared" si="1"/>
        <v>4896761.4546296736</v>
      </c>
      <c r="W9" s="657">
        <f t="shared" si="2"/>
        <v>161409.54830919858</v>
      </c>
      <c r="X9" s="679" t="s">
        <v>94</v>
      </c>
      <c r="AB9" s="427">
        <v>2588</v>
      </c>
    </row>
    <row r="10" spans="2:28" ht="21">
      <c r="B10" s="684" t="s">
        <v>95</v>
      </c>
      <c r="C10" s="775">
        <f>'Lsandelar totalt'!O10</f>
        <v>1474871.2592000002</v>
      </c>
      <c r="D10" s="776"/>
      <c r="E10" s="776"/>
      <c r="F10" s="776"/>
      <c r="G10" s="776"/>
      <c r="H10" s="776">
        <f>'Kompensationer år 2024'!D10</f>
        <v>78871.59</v>
      </c>
      <c r="I10" s="776">
        <f>'Kompensationer år 2024'!E10</f>
        <v>20490</v>
      </c>
      <c r="J10" s="776">
        <f>'Kompensationer år 2024'!G10</f>
        <v>63936.561872777747</v>
      </c>
      <c r="K10" s="777"/>
      <c r="L10" s="672">
        <f t="shared" si="3"/>
        <v>1474871.2592000002</v>
      </c>
      <c r="M10" s="672">
        <f t="shared" si="4"/>
        <v>1638169.411072778</v>
      </c>
      <c r="N10" s="672"/>
      <c r="O10" s="678">
        <f t="shared" si="0"/>
        <v>3250.3361330809089</v>
      </c>
      <c r="P10" s="679" t="s">
        <v>95</v>
      </c>
      <c r="U10" s="778">
        <v>1505711.8803287041</v>
      </c>
      <c r="V10" s="778">
        <f t="shared" si="1"/>
        <v>1638169.411072778</v>
      </c>
      <c r="W10" s="657">
        <f t="shared" si="2"/>
        <v>132457.53074407391</v>
      </c>
      <c r="X10" s="679" t="s">
        <v>95</v>
      </c>
      <c r="AB10" s="427">
        <v>504</v>
      </c>
    </row>
    <row r="11" spans="2:28" ht="21">
      <c r="B11" s="684" t="s">
        <v>96</v>
      </c>
      <c r="C11" s="775">
        <f>'Lsandelar totalt'!O11</f>
        <v>1624231.6832999999</v>
      </c>
      <c r="D11" s="776"/>
      <c r="E11" s="776"/>
      <c r="F11" s="776"/>
      <c r="G11" s="776"/>
      <c r="H11" s="776">
        <f>'Kompensationer år 2024'!D11</f>
        <v>96200.57</v>
      </c>
      <c r="I11" s="776">
        <f>'Kompensationer år 2024'!E11</f>
        <v>49437.599999999999</v>
      </c>
      <c r="J11" s="776">
        <f>'Kompensationer år 2024'!G11</f>
        <v>3371.9783754465329</v>
      </c>
      <c r="K11" s="777"/>
      <c r="L11" s="672">
        <f t="shared" si="3"/>
        <v>1624231.6832999999</v>
      </c>
      <c r="M11" s="672">
        <f t="shared" si="4"/>
        <v>1773241.8316754466</v>
      </c>
      <c r="N11" s="672"/>
      <c r="O11" s="678">
        <f t="shared" si="0"/>
        <v>3497.5184056714925</v>
      </c>
      <c r="P11" s="679" t="s">
        <v>96</v>
      </c>
      <c r="U11" s="778">
        <v>1709188.1294683167</v>
      </c>
      <c r="V11" s="778">
        <f t="shared" si="1"/>
        <v>1773241.8316754466</v>
      </c>
      <c r="W11" s="657">
        <f t="shared" si="2"/>
        <v>64053.702207129914</v>
      </c>
      <c r="X11" s="679" t="s">
        <v>96</v>
      </c>
      <c r="AB11" s="427">
        <v>507</v>
      </c>
    </row>
    <row r="12" spans="2:28" ht="21">
      <c r="B12" s="684" t="s">
        <v>97</v>
      </c>
      <c r="C12" s="775">
        <f>'Lsandelar totalt'!O12</f>
        <v>3326098.1272</v>
      </c>
      <c r="D12" s="776"/>
      <c r="E12" s="776"/>
      <c r="F12" s="776"/>
      <c r="G12" s="776"/>
      <c r="H12" s="776">
        <f>'Kompensationer år 2024'!D12</f>
        <v>242127.07</v>
      </c>
      <c r="I12" s="776">
        <f>'Kompensationer år 2024'!E12</f>
        <v>102972.45</v>
      </c>
      <c r="J12" s="776">
        <f>'Kompensationer år 2024'!G12</f>
        <v>114412.08185585742</v>
      </c>
      <c r="K12" s="777"/>
      <c r="L12" s="672">
        <f t="shared" si="3"/>
        <v>3326098.1272</v>
      </c>
      <c r="M12" s="672">
        <f t="shared" si="4"/>
        <v>3785609.7290558573</v>
      </c>
      <c r="N12" s="672"/>
      <c r="O12" s="677">
        <f t="shared" si="0"/>
        <v>2325.3131013856619</v>
      </c>
      <c r="P12" s="679" t="s">
        <v>97</v>
      </c>
      <c r="U12" s="778">
        <v>3593575.3397250734</v>
      </c>
      <c r="V12" s="778">
        <f t="shared" si="1"/>
        <v>3785609.7290558573</v>
      </c>
      <c r="W12" s="657">
        <f t="shared" si="2"/>
        <v>192034.38933078386</v>
      </c>
      <c r="X12" s="679" t="s">
        <v>97</v>
      </c>
      <c r="AB12" s="427">
        <v>1628</v>
      </c>
    </row>
    <row r="13" spans="2:28" ht="21">
      <c r="B13" s="684" t="s">
        <v>98</v>
      </c>
      <c r="C13" s="775">
        <f>'Lsandelar totalt'!O13</f>
        <v>5752732.5614999989</v>
      </c>
      <c r="D13" s="776"/>
      <c r="E13" s="776"/>
      <c r="F13" s="776"/>
      <c r="G13" s="776"/>
      <c r="H13" s="776">
        <f>'Kompensationer år 2024'!D13</f>
        <v>517090.67</v>
      </c>
      <c r="I13" s="776">
        <f>'Kompensationer år 2024'!E13</f>
        <v>84260.99</v>
      </c>
      <c r="J13" s="776">
        <f>'Kompensationer år 2024'!G13</f>
        <v>562830.85804369859</v>
      </c>
      <c r="K13" s="777"/>
      <c r="L13" s="672">
        <f t="shared" si="3"/>
        <v>5752732.5614999989</v>
      </c>
      <c r="M13" s="672">
        <f t="shared" si="4"/>
        <v>6916915.0795436976</v>
      </c>
      <c r="N13" s="672"/>
      <c r="O13" s="677">
        <f t="shared" si="0"/>
        <v>1232.9616897582348</v>
      </c>
      <c r="P13" s="679" t="s">
        <v>98</v>
      </c>
      <c r="U13" s="778">
        <v>6316741.2334129373</v>
      </c>
      <c r="V13" s="778">
        <f t="shared" si="1"/>
        <v>6916915.0795436976</v>
      </c>
      <c r="W13" s="657">
        <f t="shared" si="2"/>
        <v>600173.84613076039</v>
      </c>
      <c r="X13" s="679" t="s">
        <v>98</v>
      </c>
      <c r="AB13" s="427">
        <v>5610</v>
      </c>
    </row>
    <row r="14" spans="2:28" ht="21">
      <c r="B14" s="684" t="s">
        <v>99</v>
      </c>
      <c r="C14" s="775">
        <f>'Lsandelar totalt'!O14</f>
        <v>920905.59350000008</v>
      </c>
      <c r="D14" s="776"/>
      <c r="E14" s="776"/>
      <c r="F14" s="776"/>
      <c r="G14" s="776"/>
      <c r="H14" s="776">
        <f>'Kompensationer år 2024'!D14</f>
        <v>53313.91</v>
      </c>
      <c r="I14" s="776">
        <f>'Kompensationer år 2024'!E14</f>
        <v>1860.46</v>
      </c>
      <c r="J14" s="776">
        <f>'Kompensationer år 2024'!G14</f>
        <v>4263.8859412011352</v>
      </c>
      <c r="K14" s="777"/>
      <c r="L14" s="672">
        <f t="shared" si="3"/>
        <v>920905.59350000008</v>
      </c>
      <c r="M14" s="672">
        <f t="shared" si="4"/>
        <v>980343.84944120119</v>
      </c>
      <c r="N14" s="672"/>
      <c r="O14" s="677">
        <f t="shared" si="0"/>
        <v>3203.7380700692847</v>
      </c>
      <c r="P14" s="679" t="s">
        <v>99</v>
      </c>
      <c r="U14" s="778">
        <v>949873.09357944317</v>
      </c>
      <c r="V14" s="778">
        <f t="shared" si="1"/>
        <v>980343.84944120119</v>
      </c>
      <c r="W14" s="657">
        <f t="shared" si="2"/>
        <v>30470.755861758022</v>
      </c>
      <c r="X14" s="679" t="s">
        <v>99</v>
      </c>
      <c r="AB14" s="427">
        <v>306</v>
      </c>
    </row>
    <row r="15" spans="2:28" ht="21">
      <c r="B15" s="684" t="s">
        <v>100</v>
      </c>
      <c r="C15" s="775">
        <f>'Lsandelar totalt'!O15</f>
        <v>567396.90539999993</v>
      </c>
      <c r="D15" s="776"/>
      <c r="E15" s="776"/>
      <c r="F15" s="776"/>
      <c r="G15" s="776"/>
      <c r="H15" s="776">
        <f>'Kompensationer år 2024'!D15</f>
        <v>48856.25</v>
      </c>
      <c r="I15" s="776">
        <f>'Kompensationer år 2024'!E15</f>
        <v>1559.07</v>
      </c>
      <c r="J15" s="776">
        <f>'Kompensationer år 2024'!G15</f>
        <v>6582.4307438688393</v>
      </c>
      <c r="K15" s="777"/>
      <c r="L15" s="672">
        <f t="shared" si="3"/>
        <v>567396.90539999993</v>
      </c>
      <c r="M15" s="672">
        <f t="shared" si="4"/>
        <v>624394.65614386869</v>
      </c>
      <c r="N15" s="672"/>
      <c r="O15" s="677">
        <f t="shared" si="0"/>
        <v>2799.9760365195907</v>
      </c>
      <c r="P15" s="679" t="s">
        <v>100</v>
      </c>
      <c r="U15" s="778">
        <v>599033.31783848733</v>
      </c>
      <c r="V15" s="778">
        <f t="shared" si="1"/>
        <v>624394.65614386869</v>
      </c>
      <c r="W15" s="657">
        <f t="shared" si="2"/>
        <v>25361.33830538136</v>
      </c>
      <c r="X15" s="679" t="s">
        <v>100</v>
      </c>
      <c r="AB15" s="427">
        <v>223</v>
      </c>
    </row>
    <row r="16" spans="2:28" ht="21">
      <c r="B16" s="684" t="s">
        <v>101</v>
      </c>
      <c r="C16" s="775">
        <f>'Lsandelar totalt'!O16</f>
        <v>3213124.2235999997</v>
      </c>
      <c r="D16" s="776"/>
      <c r="E16" s="776"/>
      <c r="F16" s="776"/>
      <c r="G16" s="776"/>
      <c r="H16" s="776">
        <f>'Kompensationer år 2024'!D16</f>
        <v>246518.78</v>
      </c>
      <c r="I16" s="776">
        <f>'Kompensationer år 2024'!E16</f>
        <v>110720.05</v>
      </c>
      <c r="J16" s="776">
        <f>'Kompensationer år 2024'!G16</f>
        <v>49500.022382722091</v>
      </c>
      <c r="K16" s="777"/>
      <c r="L16" s="672">
        <f t="shared" si="3"/>
        <v>3213124.2235999997</v>
      </c>
      <c r="M16" s="672">
        <f t="shared" si="4"/>
        <v>3619863.0759827215</v>
      </c>
      <c r="N16" s="672"/>
      <c r="O16" s="677">
        <f t="shared" si="0"/>
        <v>1698.6687357966782</v>
      </c>
      <c r="P16" s="679" t="s">
        <v>101</v>
      </c>
      <c r="U16" s="778">
        <v>3469382.2817086321</v>
      </c>
      <c r="V16" s="778">
        <f t="shared" si="1"/>
        <v>3619863.0759827215</v>
      </c>
      <c r="W16" s="657">
        <f t="shared" si="2"/>
        <v>150480.79427408939</v>
      </c>
      <c r="X16" s="679" t="s">
        <v>101</v>
      </c>
      <c r="AB16" s="427">
        <v>2131</v>
      </c>
    </row>
    <row r="17" spans="2:28" ht="21">
      <c r="B17" s="684" t="s">
        <v>102</v>
      </c>
      <c r="C17" s="775">
        <f>'Lsandelar totalt'!O17</f>
        <v>711870.58350000018</v>
      </c>
      <c r="D17" s="776"/>
      <c r="E17" s="776"/>
      <c r="F17" s="776"/>
      <c r="G17" s="776"/>
      <c r="H17" s="776">
        <f>'Kompensationer år 2024'!D17</f>
        <v>59393.73</v>
      </c>
      <c r="I17" s="776">
        <f>'Kompensationer år 2024'!E17</f>
        <v>36401.35</v>
      </c>
      <c r="J17" s="776">
        <f>'Kompensationer år 2024'!G17</f>
        <v>19078.773462239868</v>
      </c>
      <c r="K17" s="777"/>
      <c r="L17" s="672">
        <f t="shared" si="3"/>
        <v>711870.58350000018</v>
      </c>
      <c r="M17" s="672">
        <f t="shared" si="4"/>
        <v>826744.43696224003</v>
      </c>
      <c r="N17" s="672"/>
      <c r="O17" s="677">
        <f t="shared" si="0"/>
        <v>2296.5123248951113</v>
      </c>
      <c r="P17" s="679" t="s">
        <v>102</v>
      </c>
      <c r="U17" s="778">
        <v>826706.21602315968</v>
      </c>
      <c r="V17" s="778">
        <f t="shared" si="1"/>
        <v>826744.43696224003</v>
      </c>
      <c r="W17" s="657">
        <f t="shared" si="2"/>
        <v>38.220939080347307</v>
      </c>
      <c r="X17" s="679" t="s">
        <v>102</v>
      </c>
      <c r="AB17" s="427">
        <v>360</v>
      </c>
    </row>
    <row r="18" spans="2:28" ht="21">
      <c r="B18" s="684" t="s">
        <v>103</v>
      </c>
      <c r="C18" s="775">
        <f>'Lsandelar totalt'!O18</f>
        <v>2737946.1934999996</v>
      </c>
      <c r="D18" s="776"/>
      <c r="E18" s="776"/>
      <c r="F18" s="776"/>
      <c r="G18" s="776"/>
      <c r="H18" s="776">
        <f>'Kompensationer år 2024'!D18</f>
        <v>245586.73</v>
      </c>
      <c r="I18" s="776">
        <f>'Kompensationer år 2024'!E18</f>
        <v>123768.5</v>
      </c>
      <c r="J18" s="776">
        <f>'Kompensationer år 2024'!G18</f>
        <v>502390.86542182288</v>
      </c>
      <c r="K18" s="777"/>
      <c r="L18" s="672">
        <f t="shared" si="3"/>
        <v>2737946.1934999996</v>
      </c>
      <c r="M18" s="672">
        <f t="shared" si="4"/>
        <v>3609692.2889218223</v>
      </c>
      <c r="N18" s="672"/>
      <c r="O18" s="677">
        <f t="shared" si="0"/>
        <v>2013.2137696161865</v>
      </c>
      <c r="P18" s="679" t="s">
        <v>103</v>
      </c>
      <c r="U18" s="778">
        <v>3435995.3522901125</v>
      </c>
      <c r="V18" s="778">
        <f t="shared" si="1"/>
        <v>3609692.2889218223</v>
      </c>
      <c r="W18" s="657">
        <f t="shared" si="2"/>
        <v>173696.9366317098</v>
      </c>
      <c r="X18" s="679" t="s">
        <v>103</v>
      </c>
      <c r="AB18" s="427">
        <v>1793</v>
      </c>
    </row>
    <row r="19" spans="2:28" ht="21">
      <c r="B19" s="684" t="s">
        <v>104</v>
      </c>
      <c r="C19" s="775">
        <f>'Lsandelar totalt'!O19</f>
        <v>337341.03989999997</v>
      </c>
      <c r="D19" s="776"/>
      <c r="E19" s="776"/>
      <c r="F19" s="776"/>
      <c r="G19" s="776"/>
      <c r="H19" s="776">
        <f>'Kompensationer år 2024'!D19</f>
        <v>20340.07</v>
      </c>
      <c r="I19" s="776">
        <f>'Kompensationer år 2024'!E19</f>
        <v>572.11</v>
      </c>
      <c r="J19" s="776">
        <f>'Kompensationer år 2024'!G19</f>
        <v>5814.2369034618469</v>
      </c>
      <c r="K19" s="777"/>
      <c r="L19" s="672">
        <f t="shared" si="3"/>
        <v>337341.03989999997</v>
      </c>
      <c r="M19" s="672">
        <f t="shared" si="4"/>
        <v>364067.45680346183</v>
      </c>
      <c r="N19" s="672"/>
      <c r="O19" s="677">
        <f t="shared" si="0"/>
        <v>3279.8869982293859</v>
      </c>
      <c r="P19" s="679" t="s">
        <v>104</v>
      </c>
      <c r="U19" s="778">
        <v>302987.04058385809</v>
      </c>
      <c r="V19" s="778">
        <f t="shared" si="1"/>
        <v>364067.45680346183</v>
      </c>
      <c r="W19" s="657">
        <f t="shared" si="2"/>
        <v>61080.416219603736</v>
      </c>
      <c r="X19" s="679" t="s">
        <v>104</v>
      </c>
      <c r="AB19" s="427">
        <v>111</v>
      </c>
    </row>
    <row r="20" spans="2:28" ht="21">
      <c r="B20" s="684" t="s">
        <v>105</v>
      </c>
      <c r="C20" s="775">
        <f>'Lsandelar totalt'!O20</f>
        <v>2027250.8375999997</v>
      </c>
      <c r="D20" s="776"/>
      <c r="E20" s="776"/>
      <c r="F20" s="776"/>
      <c r="G20" s="776"/>
      <c r="H20" s="776">
        <f>'Kompensationer år 2024'!D20</f>
        <v>149730.04</v>
      </c>
      <c r="I20" s="776">
        <f>'Kompensationer år 2024'!E20</f>
        <v>85179.75</v>
      </c>
      <c r="J20" s="776">
        <f>'Kompensationer år 2024'!G20</f>
        <v>19237.193883747081</v>
      </c>
      <c r="K20" s="777"/>
      <c r="L20" s="672">
        <f t="shared" si="3"/>
        <v>2027250.8375999997</v>
      </c>
      <c r="M20" s="672">
        <f t="shared" si="4"/>
        <v>2281397.8214837466</v>
      </c>
      <c r="N20" s="672"/>
      <c r="O20" s="677">
        <f t="shared" si="0"/>
        <v>2279.1187027809656</v>
      </c>
      <c r="P20" s="679" t="s">
        <v>105</v>
      </c>
      <c r="U20" s="778">
        <v>2200560.2362612709</v>
      </c>
      <c r="V20" s="778">
        <f t="shared" si="1"/>
        <v>2281397.8214837466</v>
      </c>
      <c r="W20" s="657">
        <f t="shared" si="2"/>
        <v>80837.585222475696</v>
      </c>
      <c r="X20" s="679" t="s">
        <v>105</v>
      </c>
      <c r="AB20" s="427">
        <v>1001</v>
      </c>
    </row>
    <row r="21" spans="2:28" ht="21">
      <c r="B21" s="684" t="s">
        <v>106</v>
      </c>
      <c r="C21" s="775">
        <f>'Lsandelar totalt'!O21</f>
        <v>1572989.7364000001</v>
      </c>
      <c r="D21" s="776"/>
      <c r="E21" s="776"/>
      <c r="F21" s="776"/>
      <c r="G21" s="776"/>
      <c r="H21" s="776">
        <f>'Kompensationer år 2024'!D21</f>
        <v>80366.880000000005</v>
      </c>
      <c r="I21" s="776">
        <f>'Kompensationer år 2024'!E21</f>
        <v>37748.68</v>
      </c>
      <c r="J21" s="776">
        <f>'Kompensationer år 2024'!G21</f>
        <v>14298.257960889696</v>
      </c>
      <c r="K21" s="777"/>
      <c r="L21" s="672">
        <f t="shared" si="3"/>
        <v>1572989.7364000001</v>
      </c>
      <c r="M21" s="672">
        <f t="shared" si="4"/>
        <v>1705403.5543608898</v>
      </c>
      <c r="N21" s="672"/>
      <c r="O21" s="678">
        <f t="shared" si="0"/>
        <v>3781.382603904412</v>
      </c>
      <c r="P21" s="679" t="s">
        <v>106</v>
      </c>
      <c r="U21" s="778">
        <v>1679465.4126512774</v>
      </c>
      <c r="V21" s="778">
        <f t="shared" si="1"/>
        <v>1705403.5543608898</v>
      </c>
      <c r="W21" s="657">
        <f t="shared" si="2"/>
        <v>25938.14170961245</v>
      </c>
      <c r="X21" s="679" t="s">
        <v>106</v>
      </c>
      <c r="AB21" s="427">
        <v>451</v>
      </c>
    </row>
    <row r="22" spans="2:28" ht="21">
      <c r="B22" s="684" t="s">
        <v>107</v>
      </c>
      <c r="C22" s="775">
        <f>'Lsandelar totalt'!O22</f>
        <v>5667043.1177000003</v>
      </c>
      <c r="D22" s="776"/>
      <c r="E22" s="776"/>
      <c r="F22" s="591"/>
      <c r="G22" s="776"/>
      <c r="H22" s="776">
        <f>'Kompensationer år 2024'!D22</f>
        <v>1540311.39</v>
      </c>
      <c r="I22" s="776">
        <f>'Kompensationer år 2024'!E22</f>
        <v>103497.19</v>
      </c>
      <c r="J22" s="776">
        <f>'Kompensationer år 2024'!G22</f>
        <v>2281283.7268602168</v>
      </c>
      <c r="K22" s="777"/>
      <c r="L22" s="672">
        <f t="shared" si="3"/>
        <v>5667043.1177000003</v>
      </c>
      <c r="M22" s="672">
        <f t="shared" si="4"/>
        <v>9592135.4245602172</v>
      </c>
      <c r="N22" s="672"/>
      <c r="O22" s="677">
        <f t="shared" si="0"/>
        <v>815.86590325425004</v>
      </c>
      <c r="P22" s="679" t="s">
        <v>107</v>
      </c>
      <c r="U22" s="778">
        <v>8596566.5163499024</v>
      </c>
      <c r="V22" s="778">
        <f t="shared" si="1"/>
        <v>9592135.4245602172</v>
      </c>
      <c r="W22" s="657">
        <f>V22-U22</f>
        <v>995568.90821031481</v>
      </c>
      <c r="X22" s="679" t="s">
        <v>107</v>
      </c>
      <c r="AB22" s="427">
        <v>11757</v>
      </c>
    </row>
    <row r="23" spans="2:28" ht="25.5" customHeight="1">
      <c r="B23" s="685"/>
      <c r="C23" s="386"/>
      <c r="D23" s="434"/>
      <c r="F23" s="434"/>
      <c r="G23" s="434"/>
      <c r="H23" s="434"/>
      <c r="I23" s="434"/>
      <c r="J23" s="434"/>
      <c r="K23" s="686"/>
      <c r="L23" s="672"/>
      <c r="M23" s="669"/>
      <c r="N23" s="669"/>
      <c r="O23" s="669"/>
      <c r="P23" s="680"/>
      <c r="Q23" s="165"/>
      <c r="S23" s="700"/>
      <c r="U23" s="438"/>
      <c r="V23" s="438"/>
      <c r="W23" s="438"/>
      <c r="X23" s="702"/>
    </row>
    <row r="24" spans="2:28" ht="25.5" customHeight="1">
      <c r="B24" s="685" t="s">
        <v>79</v>
      </c>
      <c r="C24" s="386"/>
      <c r="D24" s="434">
        <f>'Lsandelar totalt'!I26</f>
        <v>4280251.0600000005</v>
      </c>
      <c r="F24" s="591">
        <f>202500*1.046</f>
        <v>211815</v>
      </c>
      <c r="G24" s="434"/>
      <c r="H24" s="434"/>
      <c r="I24" s="434"/>
      <c r="J24" s="434"/>
      <c r="K24" s="686"/>
      <c r="L24" s="672"/>
      <c r="M24" s="672"/>
      <c r="N24" s="670"/>
      <c r="O24" s="670"/>
      <c r="P24" s="719"/>
      <c r="Q24" s="165"/>
      <c r="S24" s="700"/>
      <c r="U24" s="438"/>
      <c r="V24" s="438"/>
      <c r="W24" s="438"/>
      <c r="X24" s="702"/>
    </row>
    <row r="25" spans="2:28" ht="21.75" thickBot="1">
      <c r="B25" s="687" t="s">
        <v>108</v>
      </c>
      <c r="C25" s="688">
        <f>SUM(C7:C23)</f>
        <v>36852163.4745</v>
      </c>
      <c r="D25" s="688">
        <f>'Lsandelar totalt'!I26</f>
        <v>4280251.0600000005</v>
      </c>
      <c r="E25" s="688"/>
      <c r="F25" s="688">
        <f>SUM(F23:F24)</f>
        <v>211815</v>
      </c>
      <c r="G25" s="688"/>
      <c r="H25" s="688">
        <f>'Kompensationer år 2024'!D25</f>
        <v>4000000.01</v>
      </c>
      <c r="I25" s="688">
        <f>'Kompensationer år 2024'!E25</f>
        <v>1000000.01</v>
      </c>
      <c r="J25" s="688">
        <f>'Kompensationer år 2024'!G25</f>
        <v>3980474</v>
      </c>
      <c r="K25" s="689"/>
      <c r="L25" s="671">
        <f>SUM(L7:L22)</f>
        <v>36852163.4745</v>
      </c>
      <c r="M25" s="671">
        <f>SUM(M7:M22)</f>
        <v>45832637.494500004</v>
      </c>
      <c r="N25" s="671">
        <f>SUM(C25:J25)</f>
        <v>50324703.554499999</v>
      </c>
      <c r="O25" s="676">
        <f>M25/AB25</f>
        <v>1509.6886423959947</v>
      </c>
      <c r="P25" s="720" t="s">
        <v>108</v>
      </c>
      <c r="Q25" s="721">
        <f>C25-'Lsandelar totalt'!O26</f>
        <v>0</v>
      </c>
      <c r="S25" s="700">
        <v>30359</v>
      </c>
      <c r="U25" s="14">
        <f>SUM(U7:U22)</f>
        <v>43067513.920299999</v>
      </c>
      <c r="V25" s="14">
        <f>SUM(V7:V22)</f>
        <v>45832637.494500004</v>
      </c>
      <c r="W25" s="654">
        <f>M25-U25</f>
        <v>2765123.5742000043</v>
      </c>
      <c r="X25" s="701" t="s">
        <v>108</v>
      </c>
      <c r="AB25">
        <f>SUM(AB7:AB22)</f>
        <v>30359</v>
      </c>
    </row>
    <row r="26" spans="2:28" s="438" customFormat="1" ht="20.45" customHeight="1" thickBot="1">
      <c r="D26" s="705"/>
      <c r="E26" s="706"/>
      <c r="F26" s="707" t="s">
        <v>109</v>
      </c>
      <c r="G26" s="707" t="s">
        <v>110</v>
      </c>
      <c r="H26" s="708" t="s">
        <v>111</v>
      </c>
      <c r="I26" s="708" t="s">
        <v>111</v>
      </c>
      <c r="J26" s="708" t="s">
        <v>111</v>
      </c>
      <c r="M26" s="709"/>
      <c r="O26" s="676">
        <f>N25/AB25</f>
        <v>1657.653531226325</v>
      </c>
      <c r="Q26" s="721">
        <f>C25+D25-'Lsandelar totalt'!L27</f>
        <v>0</v>
      </c>
      <c r="U26" s="703"/>
      <c r="W26" s="704"/>
    </row>
    <row r="27" spans="2:28" s="438" customFormat="1" ht="30" customHeight="1">
      <c r="E27" s="710"/>
      <c r="F27" s="710"/>
      <c r="H27" s="708"/>
      <c r="I27" s="708"/>
      <c r="J27" s="708"/>
    </row>
    <row r="28" spans="2:28" s="438" customFormat="1" ht="30.75" customHeight="1">
      <c r="E28" s="710"/>
      <c r="F28" s="710"/>
      <c r="H28" s="708" t="s">
        <v>112</v>
      </c>
      <c r="I28" s="708" t="s">
        <v>112</v>
      </c>
      <c r="J28" s="708" t="s">
        <v>112</v>
      </c>
    </row>
    <row r="29" spans="2:28" ht="44.25" customHeight="1">
      <c r="B29" s="438"/>
      <c r="C29" s="711"/>
      <c r="D29" s="779"/>
      <c r="E29" s="497" t="s">
        <v>113</v>
      </c>
      <c r="F29" s="497"/>
      <c r="G29" s="497"/>
      <c r="H29" s="498"/>
      <c r="I29" s="498"/>
      <c r="J29" s="498"/>
      <c r="K29" s="498"/>
      <c r="L29" s="497"/>
      <c r="M29" s="499"/>
      <c r="N29" s="438"/>
      <c r="O29" s="438"/>
      <c r="P29" s="438"/>
      <c r="U29" s="438"/>
      <c r="V29" s="438"/>
      <c r="W29" s="438"/>
      <c r="X29" s="438"/>
    </row>
    <row r="30" spans="2:28" ht="15.75">
      <c r="B30" s="779"/>
      <c r="C30" s="779"/>
      <c r="D30" s="438"/>
      <c r="E30" s="497"/>
      <c r="F30" s="497"/>
      <c r="G30" s="497"/>
      <c r="H30" s="498"/>
      <c r="I30" s="498"/>
      <c r="J30" s="498"/>
      <c r="K30" s="498"/>
      <c r="L30" s="497"/>
      <c r="M30" s="497"/>
      <c r="N30" s="438"/>
      <c r="O30" s="438"/>
      <c r="P30" s="438"/>
      <c r="U30" s="438"/>
      <c r="V30" s="438"/>
      <c r="W30" s="438"/>
      <c r="X30" s="438"/>
    </row>
    <row r="31" spans="2:28" ht="24.75" customHeight="1">
      <c r="B31" s="438"/>
      <c r="C31" s="712"/>
      <c r="D31" s="712"/>
      <c r="E31" s="497" t="s">
        <v>114</v>
      </c>
      <c r="F31" s="498"/>
      <c r="G31" s="498"/>
      <c r="H31" s="497"/>
      <c r="I31" s="497"/>
      <c r="J31" s="497"/>
      <c r="K31" s="497"/>
      <c r="L31" s="497"/>
      <c r="M31" s="500"/>
      <c r="N31" s="717"/>
      <c r="O31" s="718"/>
      <c r="P31" s="717"/>
      <c r="U31" s="438"/>
      <c r="V31" s="438"/>
      <c r="W31" s="438"/>
      <c r="X31" s="438"/>
    </row>
    <row r="32" spans="2:28">
      <c r="B32" s="438"/>
      <c r="C32" s="712"/>
      <c r="D32" s="712"/>
      <c r="E32" s="497"/>
      <c r="F32" s="498"/>
      <c r="G32" s="498"/>
      <c r="H32" s="497"/>
      <c r="I32" s="497"/>
      <c r="J32" s="497"/>
      <c r="K32" s="497"/>
      <c r="L32" s="497"/>
      <c r="M32" s="497"/>
      <c r="N32" s="438"/>
      <c r="O32" s="717"/>
      <c r="P32" s="717"/>
      <c r="U32" s="438"/>
      <c r="V32" s="438"/>
      <c r="W32" s="438"/>
      <c r="X32" s="438"/>
    </row>
    <row r="33" spans="2:24">
      <c r="B33" s="438"/>
      <c r="C33" s="712"/>
      <c r="D33" s="712"/>
      <c r="E33" s="497" t="s">
        <v>115</v>
      </c>
      <c r="F33" s="498"/>
      <c r="G33" s="498"/>
      <c r="H33" s="497"/>
      <c r="I33" s="497"/>
      <c r="J33" s="497"/>
      <c r="K33" s="497"/>
      <c r="L33" s="497"/>
      <c r="M33" s="497"/>
      <c r="N33" s="438"/>
      <c r="O33" s="717"/>
      <c r="P33" s="717"/>
      <c r="U33" s="438"/>
      <c r="V33" s="438"/>
      <c r="W33" s="438"/>
      <c r="X33" s="438"/>
    </row>
    <row r="34" spans="2:24">
      <c r="B34" s="438"/>
      <c r="C34" s="712"/>
      <c r="D34" s="712"/>
      <c r="E34" s="497"/>
      <c r="F34" s="498"/>
      <c r="G34" s="498"/>
      <c r="H34" s="497"/>
      <c r="I34" s="497"/>
      <c r="J34" s="497"/>
      <c r="K34" s="497"/>
      <c r="L34" s="497"/>
      <c r="M34" s="498"/>
      <c r="N34" s="717"/>
      <c r="O34" s="717"/>
      <c r="P34" s="717"/>
      <c r="U34" s="438"/>
      <c r="V34" s="438"/>
      <c r="W34" s="438"/>
      <c r="X34" s="438"/>
    </row>
    <row r="35" spans="2:24" ht="34.5" customHeight="1">
      <c r="B35" s="438"/>
      <c r="C35" s="712"/>
      <c r="D35" s="712"/>
      <c r="E35" s="438"/>
      <c r="F35" s="717"/>
      <c r="G35" s="717"/>
      <c r="H35" s="438"/>
      <c r="I35" s="438"/>
      <c r="J35" s="438"/>
      <c r="K35" s="438"/>
      <c r="L35" s="438"/>
      <c r="M35" s="717"/>
      <c r="N35" s="717"/>
      <c r="O35" s="717"/>
      <c r="P35" s="717"/>
      <c r="U35" s="438"/>
      <c r="V35" s="438"/>
      <c r="W35" s="438"/>
      <c r="X35" s="438"/>
    </row>
    <row r="36" spans="2:24" ht="110.25" customHeight="1">
      <c r="B36" s="722" t="s">
        <v>116</v>
      </c>
      <c r="C36" s="438"/>
      <c r="D36" s="438"/>
      <c r="E36" s="438"/>
      <c r="F36" s="438"/>
      <c r="G36" s="438"/>
      <c r="H36" s="438"/>
      <c r="I36" s="438"/>
      <c r="J36" s="438"/>
      <c r="K36" s="438"/>
      <c r="L36" s="438"/>
      <c r="M36" s="438"/>
      <c r="N36" s="438"/>
      <c r="O36" s="438"/>
      <c r="P36" s="438"/>
      <c r="U36" s="438"/>
      <c r="V36" s="438"/>
      <c r="W36" s="438"/>
      <c r="X36" s="438"/>
    </row>
    <row r="37" spans="2:24" ht="16.5" thickBot="1">
      <c r="B37" s="713"/>
      <c r="C37" s="438"/>
      <c r="D37" s="438"/>
      <c r="E37" s="438"/>
      <c r="F37" s="438"/>
      <c r="G37" s="438"/>
      <c r="H37" s="438"/>
      <c r="I37" s="438"/>
      <c r="J37" s="438"/>
      <c r="K37" s="438"/>
      <c r="L37" s="438"/>
      <c r="M37" s="438"/>
      <c r="N37" s="438"/>
      <c r="O37" s="438"/>
    </row>
    <row r="38" spans="2:24" ht="75.75" thickBot="1">
      <c r="B38" s="681"/>
      <c r="C38" s="682" t="s">
        <v>78</v>
      </c>
      <c r="D38" s="682" t="s">
        <v>79</v>
      </c>
      <c r="E38" s="682"/>
      <c r="F38" s="682" t="s">
        <v>80</v>
      </c>
      <c r="G38" s="682" t="s">
        <v>81</v>
      </c>
      <c r="H38" s="682" t="s">
        <v>82</v>
      </c>
      <c r="I38" s="682" t="s">
        <v>83</v>
      </c>
      <c r="J38" s="682" t="s">
        <v>84</v>
      </c>
      <c r="K38" s="683"/>
      <c r="L38" s="673" t="s">
        <v>85</v>
      </c>
      <c r="M38" s="674" t="s">
        <v>86</v>
      </c>
      <c r="N38" s="438"/>
      <c r="O38" s="438"/>
    </row>
    <row r="39" spans="2:24" ht="15.75">
      <c r="B39" s="779"/>
      <c r="C39" s="723">
        <f>C25-'Lsandelar totalt'!O26</f>
        <v>0</v>
      </c>
      <c r="D39" s="723">
        <f>D25-'Soctjänst data'!E28</f>
        <v>1.1080000549554825E-2</v>
      </c>
      <c r="E39" s="438"/>
      <c r="F39" s="438"/>
      <c r="G39" s="438"/>
      <c r="H39" s="723">
        <f>H25-'Kompensationer år 2024'!D25</f>
        <v>0</v>
      </c>
      <c r="I39" s="723">
        <f>I25-'Kompensationer år 2024'!E25</f>
        <v>0</v>
      </c>
      <c r="J39" s="723">
        <f>J25-'Kompensationer år 2024'!G25</f>
        <v>0</v>
      </c>
      <c r="K39" s="438"/>
      <c r="L39" s="438"/>
      <c r="M39" s="438"/>
      <c r="N39" s="438"/>
      <c r="O39" s="438"/>
    </row>
    <row r="40" spans="2:24" ht="15.75">
      <c r="B40" s="779"/>
      <c r="C40" s="438"/>
      <c r="D40" s="438"/>
      <c r="E40" s="438"/>
      <c r="F40" s="438"/>
      <c r="G40" s="438"/>
      <c r="H40" s="438"/>
      <c r="I40" s="438"/>
      <c r="J40" s="438"/>
      <c r="K40" s="438"/>
      <c r="L40" s="438"/>
      <c r="M40" s="438"/>
      <c r="N40" s="438"/>
      <c r="O40" s="438"/>
    </row>
    <row r="41" spans="2:24" ht="15.75">
      <c r="B41" s="779"/>
      <c r="C41" s="723">
        <f>SUM('Lsandelar totalt'!B26:J26)-C25-D25</f>
        <v>0</v>
      </c>
      <c r="D41" s="438"/>
      <c r="E41" s="438"/>
      <c r="F41" s="438"/>
      <c r="G41" s="438"/>
      <c r="H41" s="438"/>
      <c r="I41" s="438"/>
      <c r="J41" s="438"/>
      <c r="K41" s="438"/>
      <c r="L41" s="438"/>
      <c r="M41" s="438"/>
      <c r="N41" s="438"/>
      <c r="O41" s="438"/>
    </row>
    <row r="42" spans="2:24" ht="15.75">
      <c r="B42" s="779"/>
      <c r="C42" s="438"/>
      <c r="D42" s="438"/>
      <c r="E42" s="438"/>
      <c r="F42" s="438"/>
      <c r="G42" s="438"/>
      <c r="H42" s="438"/>
      <c r="I42" s="438"/>
      <c r="J42" s="438"/>
      <c r="K42" s="438"/>
      <c r="L42" s="438"/>
      <c r="M42" s="438"/>
      <c r="N42" s="438"/>
      <c r="O42" s="438"/>
    </row>
    <row r="43" spans="2:24">
      <c r="B43" s="438"/>
      <c r="C43" s="438"/>
      <c r="D43" s="438"/>
      <c r="E43" s="438"/>
      <c r="F43" s="438"/>
      <c r="G43" s="438"/>
      <c r="H43" s="438"/>
      <c r="I43" s="438"/>
      <c r="J43" s="438"/>
      <c r="K43" s="438"/>
      <c r="L43" s="438"/>
      <c r="M43" s="438"/>
      <c r="N43" s="438"/>
      <c r="O43" s="438"/>
    </row>
    <row r="44" spans="2:24">
      <c r="B44" s="438"/>
      <c r="C44" s="438"/>
      <c r="D44" s="438"/>
      <c r="E44" s="438"/>
      <c r="F44" s="438"/>
      <c r="G44" s="438"/>
      <c r="H44" s="438"/>
      <c r="I44" s="438"/>
      <c r="J44" s="438"/>
      <c r="K44" s="438"/>
      <c r="L44" s="438"/>
      <c r="M44" s="438"/>
      <c r="N44" s="438"/>
      <c r="O44" s="438"/>
    </row>
    <row r="45" spans="2:24">
      <c r="B45" s="438"/>
      <c r="C45" s="438"/>
      <c r="D45" s="438"/>
      <c r="E45" s="438"/>
      <c r="F45" s="438"/>
      <c r="G45" s="438"/>
      <c r="H45" s="438"/>
      <c r="I45" s="438"/>
      <c r="J45" s="438"/>
      <c r="K45" s="438"/>
      <c r="L45" s="438"/>
      <c r="M45" s="438"/>
      <c r="N45" s="438"/>
      <c r="O45" s="438"/>
    </row>
    <row r="46" spans="2:24">
      <c r="B46" s="438"/>
      <c r="C46" s="438"/>
      <c r="D46" s="438"/>
      <c r="E46" s="438"/>
      <c r="F46" s="438"/>
      <c r="G46" s="438"/>
      <c r="H46" s="438"/>
      <c r="I46" s="438"/>
      <c r="J46" s="438"/>
      <c r="K46" s="438"/>
      <c r="L46" s="438"/>
      <c r="M46" s="438"/>
      <c r="N46" s="438"/>
      <c r="O46" s="438"/>
    </row>
    <row r="47" spans="2:24">
      <c r="B47" s="438"/>
      <c r="C47" s="438"/>
      <c r="D47" s="438"/>
      <c r="E47" s="438"/>
      <c r="F47" s="438"/>
      <c r="G47" s="438"/>
      <c r="H47" s="438"/>
      <c r="I47" s="438"/>
      <c r="J47" s="438"/>
      <c r="K47" s="438"/>
      <c r="L47" s="438"/>
      <c r="M47" s="438"/>
      <c r="N47" s="438"/>
      <c r="O47" s="438"/>
    </row>
    <row r="48" spans="2:24">
      <c r="B48" s="438"/>
      <c r="C48" s="438"/>
      <c r="D48" s="438"/>
      <c r="E48" s="438"/>
      <c r="F48" s="438"/>
      <c r="G48" s="438"/>
      <c r="H48" s="438"/>
      <c r="I48" s="438"/>
      <c r="J48" s="438"/>
      <c r="K48" s="438"/>
      <c r="L48" s="438"/>
      <c r="M48" s="438"/>
      <c r="N48" s="438"/>
      <c r="O48" s="438"/>
    </row>
    <row r="49" spans="2:7">
      <c r="B49" s="438"/>
      <c r="C49" s="438"/>
      <c r="D49" s="438"/>
    </row>
    <row r="50" spans="2:7">
      <c r="B50" s="438"/>
      <c r="C50" s="438"/>
      <c r="D50" s="438"/>
    </row>
    <row r="51" spans="2:7">
      <c r="B51" s="438"/>
      <c r="C51" s="438"/>
      <c r="D51" s="438"/>
    </row>
    <row r="52" spans="2:7">
      <c r="B52" s="438"/>
      <c r="C52" s="438"/>
      <c r="D52" s="438"/>
    </row>
    <row r="53" spans="2:7">
      <c r="B53" s="438"/>
      <c r="C53" s="438"/>
      <c r="D53" s="438"/>
    </row>
    <row r="54" spans="2:7">
      <c r="B54" s="438"/>
      <c r="C54" s="438"/>
      <c r="D54" s="438"/>
    </row>
    <row r="55" spans="2:7">
      <c r="B55" s="438"/>
      <c r="C55" s="438"/>
      <c r="D55" s="438"/>
    </row>
    <row r="56" spans="2:7">
      <c r="B56" s="438"/>
      <c r="C56" s="438"/>
      <c r="D56" s="438"/>
    </row>
    <row r="57" spans="2:7">
      <c r="B57" s="438"/>
      <c r="C57" s="438"/>
      <c r="D57" s="438"/>
    </row>
    <row r="58" spans="2:7">
      <c r="B58" s="438"/>
      <c r="C58" s="438"/>
      <c r="D58" s="438"/>
    </row>
    <row r="59" spans="2:7">
      <c r="B59" s="438"/>
      <c r="C59" s="438"/>
      <c r="D59" s="438"/>
    </row>
    <row r="60" spans="2:7">
      <c r="B60" s="438"/>
      <c r="C60" s="438"/>
      <c r="D60" s="438"/>
    </row>
    <row r="61" spans="2:7" ht="15.75">
      <c r="B61" s="438"/>
      <c r="C61" s="714"/>
      <c r="D61" s="715"/>
      <c r="E61" s="358"/>
      <c r="F61" s="358"/>
      <c r="G61" s="358"/>
    </row>
    <row r="62" spans="2:7">
      <c r="B62" s="438"/>
      <c r="C62" s="714"/>
      <c r="D62" s="716"/>
      <c r="E62" s="358"/>
      <c r="F62" s="358"/>
      <c r="G62" s="358"/>
    </row>
    <row r="63" spans="2:7">
      <c r="B63" s="438"/>
      <c r="C63" s="714"/>
      <c r="D63" s="714"/>
      <c r="E63" s="358"/>
      <c r="F63" s="358"/>
      <c r="G63" s="358"/>
    </row>
    <row r="64" spans="2:7">
      <c r="B64" s="438"/>
      <c r="C64" s="714"/>
      <c r="D64" s="716"/>
      <c r="E64" s="358"/>
      <c r="F64" s="358"/>
      <c r="G64" s="358"/>
    </row>
    <row r="65" spans="2:7">
      <c r="B65" s="438"/>
      <c r="C65" s="714"/>
      <c r="D65" s="716"/>
      <c r="E65" s="358"/>
      <c r="F65" s="358"/>
      <c r="G65" s="358"/>
    </row>
    <row r="66" spans="2:7">
      <c r="B66" s="438"/>
      <c r="C66" s="714"/>
      <c r="D66" s="716"/>
      <c r="E66" s="358"/>
      <c r="F66" s="358"/>
      <c r="G66" s="358"/>
    </row>
    <row r="67" spans="2:7">
      <c r="C67" s="358"/>
      <c r="D67" s="441"/>
      <c r="E67" s="358"/>
      <c r="F67" s="358"/>
      <c r="G67" s="358"/>
    </row>
    <row r="68" spans="2:7">
      <c r="C68" s="358"/>
      <c r="D68" s="358"/>
      <c r="E68" s="358"/>
      <c r="F68" s="358"/>
      <c r="G68" s="358"/>
    </row>
    <row r="69" spans="2:7">
      <c r="C69" s="358"/>
      <c r="D69" s="440"/>
      <c r="E69" s="358"/>
      <c r="F69" s="440"/>
      <c r="G69" s="358"/>
    </row>
    <row r="70" spans="2:7" ht="15.75">
      <c r="C70" s="358"/>
      <c r="D70" s="442"/>
      <c r="E70" s="358"/>
      <c r="F70" s="358"/>
      <c r="G70" s="358"/>
    </row>
    <row r="71" spans="2:7">
      <c r="C71" s="358"/>
      <c r="D71" s="358"/>
      <c r="E71" s="358"/>
      <c r="F71" s="358"/>
      <c r="G71" s="358"/>
    </row>
    <row r="72" spans="2:7">
      <c r="C72" s="358"/>
      <c r="D72" s="358"/>
      <c r="E72" s="358"/>
      <c r="F72" s="358"/>
      <c r="G72" s="358"/>
    </row>
    <row r="73" spans="2:7">
      <c r="C73" s="358"/>
      <c r="D73" s="358"/>
      <c r="E73" s="358"/>
      <c r="F73" s="358"/>
      <c r="G73" s="358"/>
    </row>
    <row r="74" spans="2:7">
      <c r="C74" s="358"/>
      <c r="D74" s="358"/>
      <c r="E74" s="358"/>
      <c r="F74" s="358"/>
      <c r="G74" s="358"/>
    </row>
  </sheetData>
  <conditionalFormatting sqref="B39:M42">
    <cfRule type="cellIs" dxfId="4" priority="1" operator="greaterThan">
      <formula>1</formula>
    </cfRule>
    <cfRule type="cellIs" dxfId="3" priority="2" operator="equal">
      <formula>0</formula>
    </cfRule>
  </conditionalFormatting>
  <conditionalFormatting sqref="F69">
    <cfRule type="cellIs" dxfId="2" priority="19" operator="equal">
      <formula>0</formula>
    </cfRule>
  </conditionalFormatting>
  <conditionalFormatting sqref="O7:O22">
    <cfRule type="colorScale" priority="9">
      <colorScale>
        <cfvo type="min"/>
        <cfvo type="max"/>
        <color theme="9" tint="0.79998168889431442"/>
        <color rgb="FF7030A0"/>
      </colorScale>
    </cfRule>
    <cfRule type="colorScale" priority="10">
      <colorScale>
        <cfvo type="min"/>
        <cfvo type="max"/>
        <color theme="4" tint="0.79998168889431442"/>
        <color theme="4" tint="-0.249977111117893"/>
      </colorScale>
    </cfRule>
    <cfRule type="colorScale" priority="12">
      <colorScale>
        <cfvo type="min"/>
        <cfvo type="max"/>
        <color rgb="FF63BE7B"/>
        <color rgb="FFFCFCFF"/>
      </colorScale>
    </cfRule>
  </conditionalFormatting>
  <conditionalFormatting sqref="W7:W22">
    <cfRule type="dataBar" priority="13">
      <dataBar>
        <cfvo type="min"/>
        <cfvo type="max"/>
        <color rgb="FF638EC6"/>
      </dataBar>
      <extLst>
        <ext xmlns:x14="http://schemas.microsoft.com/office/spreadsheetml/2009/9/main" uri="{B025F937-C7B1-47D3-B67F-A62EFF666E3E}">
          <x14:id>{591DAF24-AB18-46EF-BCC5-679F529B3539}</x14:id>
        </ext>
      </extLst>
    </cfRule>
  </conditionalFormatting>
  <conditionalFormatting sqref="W25:W26 W7:W22">
    <cfRule type="dataBar" priority="26">
      <dataBar>
        <cfvo type="min"/>
        <cfvo type="max"/>
        <color rgb="FF638EC6"/>
      </dataBar>
      <extLst>
        <ext xmlns:x14="http://schemas.microsoft.com/office/spreadsheetml/2009/9/main" uri="{B025F937-C7B1-47D3-B67F-A62EFF666E3E}">
          <x14:id>{5348D528-5505-429D-BB92-02C8283DCA29}</x14:id>
        </ext>
      </extLst>
    </cfRule>
  </conditionalFormatting>
  <hyperlinks>
    <hyperlink ref="B29:C29" r:id="rId1" display="Kompensation av kapitalskatt" xr:uid="{00000000-0004-0000-0200-000000000000}"/>
    <hyperlink ref="D4" r:id="rId2" display="Budget år 2023 LR" xr:uid="{00000000-0004-0000-0200-000001000000}"/>
  </hyperlinks>
  <pageMargins left="0.7" right="0.7" top="0.75" bottom="0.75" header="0.3" footer="0.3"/>
  <pageSetup paperSize="9" orientation="landscape" r:id="rId3"/>
  <legacyDrawing r:id="rId4"/>
  <extLst>
    <ext xmlns:x14="http://schemas.microsoft.com/office/spreadsheetml/2009/9/main" uri="{78C0D931-6437-407d-A8EE-F0AAD7539E65}">
      <x14:conditionalFormattings>
        <x14:conditionalFormatting xmlns:xm="http://schemas.microsoft.com/office/excel/2006/main">
          <x14:cfRule type="dataBar" id="{591DAF24-AB18-46EF-BCC5-679F529B3539}">
            <x14:dataBar minLength="0" maxLength="100" gradient="0">
              <x14:cfvo type="autoMin"/>
              <x14:cfvo type="autoMax"/>
              <x14:negativeFillColor rgb="FFFF0000"/>
              <x14:axisColor rgb="FF000000"/>
            </x14:dataBar>
          </x14:cfRule>
          <xm:sqref>W7:W22</xm:sqref>
        </x14:conditionalFormatting>
        <x14:conditionalFormatting xmlns:xm="http://schemas.microsoft.com/office/excel/2006/main">
          <x14:cfRule type="dataBar" id="{5348D528-5505-429D-BB92-02C8283DCA29}">
            <x14:dataBar minLength="0" maxLength="100" gradient="0">
              <x14:cfvo type="autoMin"/>
              <x14:cfvo type="autoMax"/>
              <x14:negativeFillColor rgb="FFFF0000"/>
              <x14:axisColor rgb="FF000000"/>
            </x14:dataBar>
          </x14:cfRule>
          <xm:sqref>W25:W26 W7:W22</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3E3E5"/>
    <pageSetUpPr fitToPage="1"/>
  </sheetPr>
  <dimension ref="A1:Z136"/>
  <sheetViews>
    <sheetView tabSelected="1" zoomScale="70" zoomScaleNormal="70" workbookViewId="0">
      <selection activeCell="D5" sqref="D5"/>
    </sheetView>
  </sheetViews>
  <sheetFormatPr defaultRowHeight="15"/>
  <cols>
    <col min="1" max="1" width="12.33203125" customWidth="1"/>
    <col min="2" max="2" width="10.77734375" customWidth="1"/>
    <col min="3" max="3" width="13.33203125" customWidth="1"/>
    <col min="4" max="4" width="13.109375" customWidth="1"/>
    <col min="5" max="5" width="13" customWidth="1"/>
    <col min="6" max="6" width="15.5546875" customWidth="1"/>
    <col min="7" max="7" width="10.6640625" customWidth="1"/>
    <col min="8" max="8" width="13.109375" customWidth="1"/>
    <col min="9" max="9" width="13.44140625" customWidth="1"/>
    <col min="10" max="10" width="12.21875" customWidth="1"/>
    <col min="11" max="11" width="7.6640625" customWidth="1"/>
    <col min="12" max="12" width="15.5546875" customWidth="1"/>
    <col min="13" max="13" width="9.33203125" customWidth="1"/>
    <col min="14" max="14" width="3.88671875" customWidth="1"/>
    <col min="15" max="15" width="11.21875" customWidth="1"/>
    <col min="16" max="16" width="7.5546875" customWidth="1"/>
    <col min="17" max="17" width="4" customWidth="1"/>
    <col min="18" max="18" width="5.5546875" hidden="1" customWidth="1"/>
    <col min="19" max="19" width="4.44140625" hidden="1" customWidth="1"/>
    <col min="20" max="20" width="4.33203125" customWidth="1"/>
    <col min="21" max="21" width="4.77734375" customWidth="1"/>
    <col min="22" max="22" width="4.88671875" customWidth="1"/>
    <col min="23" max="23" width="12.5546875" customWidth="1"/>
    <col min="24" max="24" width="10.88671875" customWidth="1"/>
    <col min="25" max="25" width="37.88671875" customWidth="1"/>
  </cols>
  <sheetData>
    <row r="1" spans="1:26" ht="15.75">
      <c r="A1" s="11" t="s">
        <v>117</v>
      </c>
      <c r="Q1" s="652"/>
      <c r="R1" s="652"/>
      <c r="S1" s="652"/>
      <c r="T1" s="652"/>
    </row>
    <row r="3" spans="1:26" ht="16.5" thickBot="1">
      <c r="A3" s="82" t="s">
        <v>629</v>
      </c>
      <c r="D3" t="s">
        <v>630</v>
      </c>
    </row>
    <row r="4" spans="1:26" ht="20.25">
      <c r="A4" s="558" t="s">
        <v>118</v>
      </c>
      <c r="F4" s="597"/>
      <c r="W4" s="613"/>
      <c r="X4" s="612"/>
      <c r="Y4" s="655" t="s">
        <v>76</v>
      </c>
    </row>
    <row r="5" spans="1:26" ht="60" customHeight="1">
      <c r="B5" s="372"/>
      <c r="F5" s="597"/>
      <c r="O5" t="s">
        <v>119</v>
      </c>
      <c r="W5">
        <v>2023</v>
      </c>
      <c r="X5">
        <v>2024</v>
      </c>
      <c r="Y5" s="656" t="s">
        <v>77</v>
      </c>
    </row>
    <row r="6" spans="1:26" s="55" customFormat="1" ht="71.25" customHeight="1">
      <c r="A6" s="780"/>
      <c r="B6" s="87" t="s">
        <v>120</v>
      </c>
      <c r="C6" s="87" t="s">
        <v>121</v>
      </c>
      <c r="D6" s="87" t="s">
        <v>122</v>
      </c>
      <c r="E6" s="87" t="s">
        <v>22</v>
      </c>
      <c r="F6" s="87" t="s">
        <v>123</v>
      </c>
      <c r="G6" s="87" t="s">
        <v>124</v>
      </c>
      <c r="H6" s="87" t="s">
        <v>125</v>
      </c>
      <c r="I6" s="87" t="s">
        <v>126</v>
      </c>
      <c r="J6" s="87" t="s">
        <v>62</v>
      </c>
      <c r="K6" s="87"/>
      <c r="L6" s="87" t="s">
        <v>67</v>
      </c>
      <c r="M6" s="87" t="s">
        <v>127</v>
      </c>
      <c r="N6" s="87"/>
      <c r="O6" s="87" t="s">
        <v>90</v>
      </c>
      <c r="P6" s="87" t="s">
        <v>127</v>
      </c>
      <c r="R6" s="428" t="s">
        <v>91</v>
      </c>
      <c r="S6" s="359" t="s">
        <v>128</v>
      </c>
      <c r="W6" s="87" t="s">
        <v>90</v>
      </c>
      <c r="X6" s="87" t="s">
        <v>90</v>
      </c>
      <c r="Y6" s="653" t="s">
        <v>90</v>
      </c>
    </row>
    <row r="7" spans="1:26" ht="21">
      <c r="A7" s="6" t="s">
        <v>92</v>
      </c>
      <c r="B7" s="326">
        <f>Skattekomplettering!B7</f>
        <v>0</v>
      </c>
      <c r="C7" s="326">
        <f>'Skola, STR &amp; Spcfr'!B7</f>
        <v>399778.16</v>
      </c>
      <c r="D7" s="326">
        <f>Barnomsorg!B6</f>
        <v>57408.4908</v>
      </c>
      <c r="E7" s="326">
        <f>'Skola, STR &amp; Spcfr'!C7</f>
        <v>0</v>
      </c>
      <c r="F7" s="326">
        <f>'Skola, STR &amp; Spcfr'!E7+'Skola, STR &amp; Spcfr'!F7</f>
        <v>47607.6</v>
      </c>
      <c r="G7" s="326">
        <f>Specialfritids!D10</f>
        <v>0</v>
      </c>
      <c r="H7" s="326">
        <f>Sociala!B6</f>
        <v>244710.87</v>
      </c>
      <c r="I7" s="326">
        <f>Sociala!C6</f>
        <v>63444.55</v>
      </c>
      <c r="J7" s="326">
        <f>'Kultur&amp;Medis'!B6</f>
        <v>7706.7</v>
      </c>
      <c r="K7" s="326"/>
      <c r="L7" s="781">
        <f t="shared" ref="L7:L22" si="0">SUM(B7:K7)</f>
        <v>820656.37079999992</v>
      </c>
      <c r="M7" s="776">
        <f t="shared" ref="M7:M22" si="1">L7/R7</f>
        <v>1823.6808239999998</v>
      </c>
      <c r="N7" s="776"/>
      <c r="O7" s="778">
        <f>L7-I7</f>
        <v>757211.82079999987</v>
      </c>
      <c r="P7" s="776">
        <f>O7/R7</f>
        <v>1682.6929351111107</v>
      </c>
      <c r="R7" s="427">
        <v>450</v>
      </c>
      <c r="S7" s="312">
        <v>34</v>
      </c>
      <c r="W7" s="778">
        <v>777085.5173999999</v>
      </c>
      <c r="X7" s="778">
        <f>O7</f>
        <v>757211.82079999987</v>
      </c>
      <c r="Y7" s="657">
        <f t="shared" ref="Y7:Y22" si="2">O7-W7</f>
        <v>-19873.696600000025</v>
      </c>
      <c r="Z7" s="6" t="s">
        <v>92</v>
      </c>
    </row>
    <row r="8" spans="1:26" ht="21">
      <c r="A8" s="6" t="s">
        <v>93</v>
      </c>
      <c r="B8" s="326">
        <f>Skattekomplettering!B8</f>
        <v>1195978.18</v>
      </c>
      <c r="C8" s="326">
        <f>'Skola, STR &amp; Spcfr'!B8</f>
        <v>382394.1</v>
      </c>
      <c r="D8" s="326">
        <f>Barnomsorg!B7</f>
        <v>121509.41040000001</v>
      </c>
      <c r="E8" s="326">
        <f>'Skola, STR &amp; Spcfr'!C8</f>
        <v>79569.62</v>
      </c>
      <c r="F8" s="326">
        <f>'Skola, STR &amp; Spcfr'!E8+'Skola, STR &amp; Spcfr'!F8</f>
        <v>28762.93</v>
      </c>
      <c r="G8" s="326">
        <f>Specialfritids!D11</f>
        <v>11384.94</v>
      </c>
      <c r="H8" s="326">
        <f>Sociala!B7</f>
        <v>180158.98</v>
      </c>
      <c r="I8" s="326">
        <f>Sociala!C7</f>
        <v>132387.62</v>
      </c>
      <c r="J8" s="326">
        <f>'Kultur&amp;Medis'!B7</f>
        <v>16081.31</v>
      </c>
      <c r="K8" s="326"/>
      <c r="L8" s="781">
        <f t="shared" si="0"/>
        <v>2148227.0903999996</v>
      </c>
      <c r="M8" s="776">
        <f t="shared" si="1"/>
        <v>2287.7817789137375</v>
      </c>
      <c r="N8" s="776"/>
      <c r="O8" s="778">
        <f t="shared" ref="O8:O22" si="3">L8-I8</f>
        <v>2015839.4703999995</v>
      </c>
      <c r="P8" s="776">
        <f t="shared" ref="P8:P21" si="4">O8/R8</f>
        <v>2146.7938981895627</v>
      </c>
      <c r="R8" s="427">
        <v>939</v>
      </c>
      <c r="S8" s="312">
        <v>90</v>
      </c>
      <c r="W8" s="778">
        <v>1927406.5278</v>
      </c>
      <c r="X8" s="778">
        <f t="shared" ref="X8:X22" si="5">O8</f>
        <v>2015839.4703999995</v>
      </c>
      <c r="Y8" s="657">
        <f t="shared" si="2"/>
        <v>88432.942599999486</v>
      </c>
      <c r="Z8" s="6" t="s">
        <v>93</v>
      </c>
    </row>
    <row r="9" spans="1:26" ht="21">
      <c r="A9" s="6" t="s">
        <v>94</v>
      </c>
      <c r="B9" s="326">
        <f>Skattekomplettering!B9</f>
        <v>2688092.09</v>
      </c>
      <c r="C9" s="326">
        <f>'Skola, STR &amp; Spcfr'!B9</f>
        <v>478665.52</v>
      </c>
      <c r="D9" s="326">
        <f>Barnomsorg!B8</f>
        <v>412264.071</v>
      </c>
      <c r="E9" s="326">
        <f>'Skola, STR &amp; Spcfr'!C9</f>
        <v>33154.01</v>
      </c>
      <c r="F9" s="326">
        <f>'Skola, STR &amp; Spcfr'!E9+'Skola, STR &amp; Spcfr'!F9</f>
        <v>119203.34</v>
      </c>
      <c r="G9" s="326">
        <f>Specialfritids!D12</f>
        <v>9487.4500000000007</v>
      </c>
      <c r="H9" s="326">
        <f>Sociala!B8</f>
        <v>360121.75</v>
      </c>
      <c r="I9" s="326">
        <f>Sociala!C8</f>
        <v>364876.63</v>
      </c>
      <c r="J9" s="326">
        <f>'Kultur&amp;Medis'!B8</f>
        <v>44322.09</v>
      </c>
      <c r="K9" s="326"/>
      <c r="L9" s="781">
        <f t="shared" si="0"/>
        <v>4510186.9509999994</v>
      </c>
      <c r="M9" s="776">
        <f t="shared" si="1"/>
        <v>1742.7306611282841</v>
      </c>
      <c r="N9" s="776"/>
      <c r="O9" s="778">
        <f t="shared" si="3"/>
        <v>4145310.3209999995</v>
      </c>
      <c r="P9" s="776">
        <f t="shared" si="4"/>
        <v>1601.7427824574959</v>
      </c>
      <c r="R9" s="427">
        <v>2588</v>
      </c>
      <c r="S9" s="312">
        <v>324</v>
      </c>
      <c r="W9" s="778">
        <v>4043862.0145</v>
      </c>
      <c r="X9" s="778">
        <f t="shared" si="5"/>
        <v>4145310.3209999995</v>
      </c>
      <c r="Y9" s="657">
        <f t="shared" si="2"/>
        <v>101448.30649999948</v>
      </c>
      <c r="Z9" s="6" t="s">
        <v>94</v>
      </c>
    </row>
    <row r="10" spans="1:26" ht="21">
      <c r="A10" s="6" t="s">
        <v>95</v>
      </c>
      <c r="B10" s="326">
        <f>Skattekomplettering!B10</f>
        <v>500192.63</v>
      </c>
      <c r="C10" s="326">
        <f>'Skola, STR &amp; Spcfr'!B10</f>
        <v>467783.61</v>
      </c>
      <c r="D10" s="326">
        <f>Barnomsorg!B9</f>
        <v>156958.36920000002</v>
      </c>
      <c r="E10" s="326">
        <f>'Skola, STR &amp; Spcfr'!C10</f>
        <v>39784.81</v>
      </c>
      <c r="F10" s="326">
        <f>'Skola, STR &amp; Spcfr'!E10+'Skola, STR &amp; Spcfr'!F10</f>
        <v>35705.699999999997</v>
      </c>
      <c r="G10" s="326">
        <f>Specialfritids!D13</f>
        <v>0</v>
      </c>
      <c r="H10" s="326">
        <f>Sociala!B9</f>
        <v>265814.64</v>
      </c>
      <c r="I10" s="326">
        <f>Sociala!C9</f>
        <v>71057.89</v>
      </c>
      <c r="J10" s="326">
        <f>'Kultur&amp;Medis'!B9</f>
        <v>8631.5</v>
      </c>
      <c r="K10" s="326"/>
      <c r="L10" s="781">
        <f t="shared" si="0"/>
        <v>1545929.1492000001</v>
      </c>
      <c r="M10" s="776">
        <f t="shared" si="1"/>
        <v>3067.3197404761909</v>
      </c>
      <c r="N10" s="776"/>
      <c r="O10" s="778">
        <f t="shared" si="3"/>
        <v>1474871.2592000002</v>
      </c>
      <c r="P10" s="776">
        <f t="shared" si="4"/>
        <v>2926.3318634920638</v>
      </c>
      <c r="R10" s="427">
        <v>504</v>
      </c>
      <c r="S10" s="312">
        <v>49</v>
      </c>
      <c r="W10" s="778">
        <v>1344312.0175999999</v>
      </c>
      <c r="X10" s="778">
        <f t="shared" si="5"/>
        <v>1474871.2592000002</v>
      </c>
      <c r="Y10" s="657">
        <f t="shared" si="2"/>
        <v>130559.2416000003</v>
      </c>
      <c r="Z10" s="6" t="s">
        <v>95</v>
      </c>
    </row>
    <row r="11" spans="1:26" ht="21">
      <c r="A11" s="6" t="s">
        <v>96</v>
      </c>
      <c r="B11" s="326">
        <f>Skattekomplettering!B11</f>
        <v>1027634.86</v>
      </c>
      <c r="C11" s="326">
        <f>'Skola, STR &amp; Spcfr'!B11</f>
        <v>298913.73</v>
      </c>
      <c r="D11" s="326">
        <f>Barnomsorg!B10</f>
        <v>80283.003299999997</v>
      </c>
      <c r="E11" s="326">
        <f>'Skola, STR &amp; Spcfr'!C11</f>
        <v>62992.62</v>
      </c>
      <c r="F11" s="326">
        <f>'Skola, STR &amp; Spcfr'!E11+'Skola, STR &amp; Spcfr'!F11</f>
        <v>49591.25</v>
      </c>
      <c r="G11" s="326">
        <f>Specialfritids!D14</f>
        <v>0</v>
      </c>
      <c r="H11" s="326">
        <f>Sociala!B10</f>
        <v>96133.34</v>
      </c>
      <c r="I11" s="326">
        <f>Sociala!C10</f>
        <v>71480.86</v>
      </c>
      <c r="J11" s="326">
        <f>'Kultur&amp;Medis'!B10</f>
        <v>8682.8799999999992</v>
      </c>
      <c r="K11" s="326"/>
      <c r="L11" s="781">
        <f t="shared" si="0"/>
        <v>1695712.5433</v>
      </c>
      <c r="M11" s="776">
        <f t="shared" si="1"/>
        <v>3344.6006771203156</v>
      </c>
      <c r="N11" s="776"/>
      <c r="O11" s="778">
        <f t="shared" si="3"/>
        <v>1624231.6832999999</v>
      </c>
      <c r="P11" s="776">
        <f t="shared" si="4"/>
        <v>3203.6127875739644</v>
      </c>
      <c r="R11" s="427">
        <v>507</v>
      </c>
      <c r="S11" s="312">
        <v>55</v>
      </c>
      <c r="W11" s="778">
        <v>1565103.8193999999</v>
      </c>
      <c r="X11" s="778">
        <f t="shared" si="5"/>
        <v>1624231.6832999999</v>
      </c>
      <c r="Y11" s="657">
        <f t="shared" si="2"/>
        <v>59127.863899999997</v>
      </c>
      <c r="Z11" s="6" t="s">
        <v>96</v>
      </c>
    </row>
    <row r="12" spans="1:26" ht="21">
      <c r="A12" s="6" t="s">
        <v>97</v>
      </c>
      <c r="B12" s="326">
        <f>Skattekomplettering!B12</f>
        <v>2290742.88</v>
      </c>
      <c r="C12" s="326">
        <f>'Skola, STR &amp; Spcfr'!B12</f>
        <v>434905.86</v>
      </c>
      <c r="D12" s="326">
        <f>Barnomsorg!B11</f>
        <v>234339.5772</v>
      </c>
      <c r="E12" s="326">
        <f>'Skola, STR &amp; Spcfr'!C12</f>
        <v>16577</v>
      </c>
      <c r="F12" s="326">
        <f>'Skola, STR &amp; Spcfr'!E12+'Skola, STR &amp; Spcfr'!F12</f>
        <v>75378.7</v>
      </c>
      <c r="G12" s="326">
        <f>Specialfritids!D15</f>
        <v>0</v>
      </c>
      <c r="H12" s="326">
        <f>Sociala!B11</f>
        <v>246272.98</v>
      </c>
      <c r="I12" s="326">
        <f>Sociala!C11</f>
        <v>229528.27</v>
      </c>
      <c r="J12" s="326">
        <f>'Kultur&amp;Medis'!B11</f>
        <v>27881.13</v>
      </c>
      <c r="K12" s="326"/>
      <c r="L12" s="781">
        <f t="shared" si="0"/>
        <v>3555626.3972</v>
      </c>
      <c r="M12" s="776">
        <f t="shared" si="1"/>
        <v>2184.0456985257983</v>
      </c>
      <c r="N12" s="776"/>
      <c r="O12" s="778">
        <f t="shared" si="3"/>
        <v>3326098.1272</v>
      </c>
      <c r="P12" s="776">
        <f t="shared" si="4"/>
        <v>2043.0578176904178</v>
      </c>
      <c r="R12" s="427">
        <v>1628</v>
      </c>
      <c r="S12" s="312">
        <v>194</v>
      </c>
      <c r="U12" s="421"/>
      <c r="V12" s="421"/>
      <c r="W12" s="778">
        <v>3164895.9229000001</v>
      </c>
      <c r="X12" s="778">
        <f t="shared" si="5"/>
        <v>3326098.1272</v>
      </c>
      <c r="Y12" s="657">
        <f t="shared" si="2"/>
        <v>161202.20429999987</v>
      </c>
      <c r="Z12" s="6" t="s">
        <v>97</v>
      </c>
    </row>
    <row r="13" spans="1:26" ht="21">
      <c r="A13" s="6" t="s">
        <v>98</v>
      </c>
      <c r="B13" s="326">
        <f>Skattekomplettering!B13</f>
        <v>2764995.3</v>
      </c>
      <c r="C13" s="326">
        <f>'Skola, STR &amp; Spcfr'!B13</f>
        <v>631487.73</v>
      </c>
      <c r="D13" s="326">
        <f>Barnomsorg!B12</f>
        <v>1160848.8315000001</v>
      </c>
      <c r="E13" s="326">
        <f>'Skola, STR &amp; Spcfr'!C13</f>
        <v>391217.3</v>
      </c>
      <c r="F13" s="326">
        <f>'Skola, STR &amp; Spcfr'!E13+'Skola, STR &amp; Spcfr'!F13</f>
        <v>103149.8</v>
      </c>
      <c r="G13" s="326">
        <f>Specialfritids!D16</f>
        <v>109105.68</v>
      </c>
      <c r="H13" s="326">
        <f>Sociala!B12</f>
        <v>495851.06</v>
      </c>
      <c r="I13" s="326">
        <f>Sociala!C12</f>
        <v>790942.01</v>
      </c>
      <c r="J13" s="326">
        <f>'Kultur&amp;Medis'!B12</f>
        <v>96076.86</v>
      </c>
      <c r="K13" s="326"/>
      <c r="L13" s="781">
        <f t="shared" si="0"/>
        <v>6543674.5714999987</v>
      </c>
      <c r="M13" s="776">
        <f t="shared" si="1"/>
        <v>1166.4304049019606</v>
      </c>
      <c r="N13" s="776"/>
      <c r="O13" s="778">
        <f t="shared" si="3"/>
        <v>5752732.5614999989</v>
      </c>
      <c r="P13" s="776">
        <f t="shared" si="4"/>
        <v>1025.4425243315507</v>
      </c>
      <c r="R13" s="427">
        <v>5610</v>
      </c>
      <c r="S13" s="312">
        <v>778</v>
      </c>
      <c r="U13" s="2"/>
      <c r="V13" s="2"/>
      <c r="W13" s="778">
        <v>5269717.5539999995</v>
      </c>
      <c r="X13" s="778">
        <f t="shared" si="5"/>
        <v>5752732.5614999989</v>
      </c>
      <c r="Y13" s="657">
        <f t="shared" si="2"/>
        <v>483015.00749999937</v>
      </c>
      <c r="Z13" s="6" t="s">
        <v>98</v>
      </c>
    </row>
    <row r="14" spans="1:26" ht="21">
      <c r="A14" s="6" t="s">
        <v>99</v>
      </c>
      <c r="B14" s="326">
        <f>Skattekomplettering!B14</f>
        <v>294027.71000000002</v>
      </c>
      <c r="C14" s="326">
        <f>'Skola, STR &amp; Spcfr'!B14</f>
        <v>223405.44</v>
      </c>
      <c r="D14" s="326">
        <f>Barnomsorg!B13</f>
        <v>71760.613500000007</v>
      </c>
      <c r="E14" s="326">
        <f>'Skola, STR &amp; Spcfr'!C14</f>
        <v>0</v>
      </c>
      <c r="F14" s="326">
        <f>'Skola, STR &amp; Spcfr'!E14+'Skola, STR &amp; Spcfr'!F14</f>
        <v>68521.13</v>
      </c>
      <c r="G14" s="326">
        <f>Specialfritids!D17</f>
        <v>0</v>
      </c>
      <c r="H14" s="326">
        <f>Sociala!B13</f>
        <v>257950.14</v>
      </c>
      <c r="I14" s="326">
        <f>Sociala!C13</f>
        <v>43142.29</v>
      </c>
      <c r="J14" s="326">
        <f>'Kultur&amp;Medis'!B13</f>
        <v>5240.5600000000004</v>
      </c>
      <c r="K14" s="326"/>
      <c r="L14" s="781">
        <f t="shared" si="0"/>
        <v>964047.88350000011</v>
      </c>
      <c r="M14" s="776">
        <f t="shared" si="1"/>
        <v>3150.4832794117651</v>
      </c>
      <c r="N14" s="776"/>
      <c r="O14" s="778">
        <f t="shared" si="3"/>
        <v>920905.59350000008</v>
      </c>
      <c r="P14" s="776">
        <f t="shared" si="4"/>
        <v>3009.4954035947717</v>
      </c>
      <c r="R14" s="427">
        <v>306</v>
      </c>
      <c r="S14" s="312">
        <v>19</v>
      </c>
      <c r="W14" s="778">
        <v>889671.88379999995</v>
      </c>
      <c r="X14" s="778">
        <f t="shared" si="5"/>
        <v>920905.59350000008</v>
      </c>
      <c r="Y14" s="657">
        <f t="shared" si="2"/>
        <v>31233.709700000123</v>
      </c>
      <c r="Z14" s="6" t="s">
        <v>99</v>
      </c>
    </row>
    <row r="15" spans="1:26" ht="21">
      <c r="A15" s="6" t="s">
        <v>100</v>
      </c>
      <c r="B15" s="326">
        <f>Skattekomplettering!B15</f>
        <v>321296.34999999998</v>
      </c>
      <c r="C15" s="326">
        <f>'Skola, STR &amp; Spcfr'!B15</f>
        <v>47032.72</v>
      </c>
      <c r="D15" s="326">
        <f>Barnomsorg!B14</f>
        <v>28704.2454</v>
      </c>
      <c r="E15" s="326">
        <f>'Skola, STR &amp; Spcfr'!C15</f>
        <v>0</v>
      </c>
      <c r="F15" s="326">
        <f>'Skola, STR &amp; Spcfr'!E15+'Skola, STR &amp; Spcfr'!F15</f>
        <v>0</v>
      </c>
      <c r="G15" s="326">
        <f>Specialfritids!D18</f>
        <v>0</v>
      </c>
      <c r="H15" s="326">
        <f>Sociala!B14</f>
        <v>166544.49</v>
      </c>
      <c r="I15" s="326">
        <f>Sociala!C14</f>
        <v>31440.3</v>
      </c>
      <c r="J15" s="326">
        <f>'Kultur&amp;Medis'!B14</f>
        <v>3819.1</v>
      </c>
      <c r="K15" s="326"/>
      <c r="L15" s="781">
        <f t="shared" si="0"/>
        <v>598837.20539999998</v>
      </c>
      <c r="M15" s="776">
        <f t="shared" si="1"/>
        <v>2685.3686340807176</v>
      </c>
      <c r="N15" s="776"/>
      <c r="O15" s="778">
        <f t="shared" si="3"/>
        <v>567396.90539999993</v>
      </c>
      <c r="P15" s="776">
        <f t="shared" si="4"/>
        <v>2544.3807417040357</v>
      </c>
      <c r="R15" s="427">
        <v>223</v>
      </c>
      <c r="S15" s="312">
        <v>4</v>
      </c>
      <c r="W15" s="778">
        <v>540715.68550000002</v>
      </c>
      <c r="X15" s="778">
        <f t="shared" si="5"/>
        <v>567396.90539999993</v>
      </c>
      <c r="Y15" s="657">
        <f t="shared" si="2"/>
        <v>26681.219899999909</v>
      </c>
      <c r="Z15" s="6" t="s">
        <v>100</v>
      </c>
    </row>
    <row r="16" spans="1:26" ht="21">
      <c r="A16" s="6" t="s">
        <v>101</v>
      </c>
      <c r="B16" s="326">
        <f>Skattekomplettering!B16</f>
        <v>1882731.68</v>
      </c>
      <c r="C16" s="326">
        <f>'Skola, STR &amp; Spcfr'!B16</f>
        <v>474962.78</v>
      </c>
      <c r="D16" s="326">
        <f>Barnomsorg!B15</f>
        <v>442641.42360000004</v>
      </c>
      <c r="E16" s="326">
        <f>'Skola, STR &amp; Spcfr'!C16</f>
        <v>86200.42</v>
      </c>
      <c r="F16" s="326">
        <f>'Skola, STR &amp; Spcfr'!E16+'Skola, STR &amp; Spcfr'!F16</f>
        <v>37689.35</v>
      </c>
      <c r="G16" s="326">
        <f>Specialfritids!D19</f>
        <v>18026.16</v>
      </c>
      <c r="H16" s="326">
        <f>Sociala!B15</f>
        <v>234376.9</v>
      </c>
      <c r="I16" s="326">
        <f>Sociala!C15</f>
        <v>300445.17</v>
      </c>
      <c r="J16" s="326">
        <f>'Kultur&amp;Medis'!B15</f>
        <v>36495.51</v>
      </c>
      <c r="K16" s="326"/>
      <c r="L16" s="781">
        <f t="shared" si="0"/>
        <v>3513569.3935999996</v>
      </c>
      <c r="M16" s="776">
        <f t="shared" si="1"/>
        <v>1648.7890162365086</v>
      </c>
      <c r="N16" s="776"/>
      <c r="O16" s="778">
        <f t="shared" si="3"/>
        <v>3213124.2235999997</v>
      </c>
      <c r="P16" s="776">
        <f t="shared" si="4"/>
        <v>1507.8011373064287</v>
      </c>
      <c r="R16" s="427">
        <v>2131</v>
      </c>
      <c r="S16" s="312">
        <v>313</v>
      </c>
      <c r="W16" s="778">
        <v>3080447.6365</v>
      </c>
      <c r="X16" s="778">
        <f t="shared" si="5"/>
        <v>3213124.2235999997</v>
      </c>
      <c r="Y16" s="657">
        <f t="shared" si="2"/>
        <v>132676.58709999966</v>
      </c>
      <c r="Z16" s="6" t="s">
        <v>101</v>
      </c>
    </row>
    <row r="17" spans="1:26" ht="21">
      <c r="A17" s="6" t="s">
        <v>102</v>
      </c>
      <c r="B17" s="326">
        <f>Skattekomplettering!B17</f>
        <v>307953.59000000003</v>
      </c>
      <c r="C17" s="326">
        <f>'Skola, STR &amp; Spcfr'!B17</f>
        <v>253672.75</v>
      </c>
      <c r="D17" s="326">
        <f>Barnomsorg!B16</f>
        <v>32547.163500000002</v>
      </c>
      <c r="E17" s="326">
        <f>'Skola, STR &amp; Spcfr'!C17</f>
        <v>39784.81</v>
      </c>
      <c r="F17" s="326">
        <f>'Skola, STR &amp; Spcfr'!E17+'Skola, STR &amp; Spcfr'!F17</f>
        <v>0</v>
      </c>
      <c r="G17" s="326">
        <f>Specialfritids!D20</f>
        <v>0</v>
      </c>
      <c r="H17" s="326">
        <f>Sociala!B16</f>
        <v>71746.91</v>
      </c>
      <c r="I17" s="326">
        <f>Sociala!C16</f>
        <v>50755.64</v>
      </c>
      <c r="J17" s="326">
        <f>'Kultur&amp;Medis'!B16</f>
        <v>6165.36</v>
      </c>
      <c r="K17" s="326"/>
      <c r="L17" s="781">
        <f t="shared" si="0"/>
        <v>762626.2235000002</v>
      </c>
      <c r="M17" s="776">
        <f t="shared" si="1"/>
        <v>2118.4061763888894</v>
      </c>
      <c r="N17" s="776"/>
      <c r="O17" s="778">
        <f t="shared" si="3"/>
        <v>711870.58350000018</v>
      </c>
      <c r="P17" s="776">
        <f t="shared" si="4"/>
        <v>1977.4182875000006</v>
      </c>
      <c r="R17" s="427">
        <v>360</v>
      </c>
      <c r="S17" s="312">
        <v>43</v>
      </c>
      <c r="W17" s="778">
        <v>707335.77560000005</v>
      </c>
      <c r="X17" s="778">
        <f t="shared" si="5"/>
        <v>711870.58350000018</v>
      </c>
      <c r="Y17" s="657">
        <f t="shared" si="2"/>
        <v>4534.8079000001308</v>
      </c>
      <c r="Z17" s="6" t="s">
        <v>102</v>
      </c>
    </row>
    <row r="18" spans="1:26" ht="21">
      <c r="A18" s="6" t="s">
        <v>103</v>
      </c>
      <c r="B18" s="326">
        <f>Skattekomplettering!B18</f>
        <v>1347993.15</v>
      </c>
      <c r="C18" s="326">
        <f>'Skola, STR &amp; Spcfr'!B18</f>
        <v>446687.31</v>
      </c>
      <c r="D18" s="326">
        <f>Barnomsorg!B17</f>
        <v>249528.25350000002</v>
      </c>
      <c r="E18" s="326">
        <f>'Skola, STR &amp; Spcfr'!C18</f>
        <v>159139.24</v>
      </c>
      <c r="F18" s="326">
        <f>'Skola, STR &amp; Spcfr'!E18+'Skola, STR &amp; Spcfr'!F18</f>
        <v>119019</v>
      </c>
      <c r="G18" s="326">
        <f>Specialfritids!D21</f>
        <v>34154.82</v>
      </c>
      <c r="H18" s="326">
        <f>Sociala!B17</f>
        <v>350717.5</v>
      </c>
      <c r="I18" s="326">
        <f>Sociala!C17</f>
        <v>252791.27</v>
      </c>
      <c r="J18" s="326">
        <f>'Kultur&amp;Medis'!B17</f>
        <v>30706.92</v>
      </c>
      <c r="K18" s="326"/>
      <c r="L18" s="781">
        <f t="shared" si="0"/>
        <v>2990737.4634999996</v>
      </c>
      <c r="M18" s="776">
        <f t="shared" si="1"/>
        <v>1668.0075089235916</v>
      </c>
      <c r="N18" s="776"/>
      <c r="O18" s="778">
        <f t="shared" si="3"/>
        <v>2737946.1934999996</v>
      </c>
      <c r="P18" s="776">
        <f t="shared" si="4"/>
        <v>1527.019628276631</v>
      </c>
      <c r="R18" s="427">
        <v>1793</v>
      </c>
      <c r="S18" s="312">
        <v>229</v>
      </c>
      <c r="W18" s="778">
        <v>2628967.3358</v>
      </c>
      <c r="X18" s="778">
        <f t="shared" si="5"/>
        <v>2737946.1934999996</v>
      </c>
      <c r="Y18" s="657">
        <f t="shared" si="2"/>
        <v>108978.85769999959</v>
      </c>
      <c r="Z18" s="6" t="s">
        <v>103</v>
      </c>
    </row>
    <row r="19" spans="1:26" ht="21">
      <c r="A19" s="6" t="s">
        <v>104</v>
      </c>
      <c r="B19" s="326">
        <f>Skattekomplettering!B19</f>
        <v>80861.649999999994</v>
      </c>
      <c r="C19" s="326">
        <f>'Skola, STR &amp; Spcfr'!B19</f>
        <v>141098.17000000001</v>
      </c>
      <c r="D19" s="326">
        <f>Barnomsorg!B18</f>
        <v>52624.4499</v>
      </c>
      <c r="E19" s="326">
        <f>'Skola, STR &amp; Spcfr'!C19</f>
        <v>0</v>
      </c>
      <c r="F19" s="326">
        <f>'Skola, STR &amp; Spcfr'!E19+'Skola, STR &amp; Spcfr'!F19</f>
        <v>0</v>
      </c>
      <c r="G19" s="326">
        <f>Specialfritids!D22</f>
        <v>0</v>
      </c>
      <c r="H19" s="326">
        <f>Sociala!B18</f>
        <v>60855.78</v>
      </c>
      <c r="I19" s="326">
        <f>Sociala!C18</f>
        <v>15649.65</v>
      </c>
      <c r="J19" s="326">
        <f>'Kultur&amp;Medis'!B18</f>
        <v>1900.99</v>
      </c>
      <c r="K19" s="326"/>
      <c r="L19" s="781">
        <f t="shared" si="0"/>
        <v>352990.6899</v>
      </c>
      <c r="M19" s="776">
        <f t="shared" si="1"/>
        <v>3180.0963054054055</v>
      </c>
      <c r="N19" s="776"/>
      <c r="O19" s="778">
        <f t="shared" si="3"/>
        <v>337341.03989999997</v>
      </c>
      <c r="P19" s="776">
        <f t="shared" si="4"/>
        <v>3039.1084675675675</v>
      </c>
      <c r="R19" s="427">
        <v>111</v>
      </c>
      <c r="S19" s="312">
        <v>12</v>
      </c>
      <c r="W19" s="778">
        <v>279181.44189999998</v>
      </c>
      <c r="X19" s="778">
        <f t="shared" si="5"/>
        <v>337341.03989999997</v>
      </c>
      <c r="Y19" s="657">
        <f t="shared" si="2"/>
        <v>58159.597999999998</v>
      </c>
      <c r="Z19" s="6" t="s">
        <v>104</v>
      </c>
    </row>
    <row r="20" spans="1:26" ht="21">
      <c r="A20" s="6" t="s">
        <v>105</v>
      </c>
      <c r="B20" s="326">
        <f>Skattekomplettering!B20</f>
        <v>1179115.1000000001</v>
      </c>
      <c r="C20" s="326">
        <f>'Skola, STR &amp; Spcfr'!B20</f>
        <v>399628.76</v>
      </c>
      <c r="D20" s="326">
        <f>Barnomsorg!B19</f>
        <v>138867.8976</v>
      </c>
      <c r="E20" s="326">
        <f>'Skola, STR &amp; Spcfr'!C20</f>
        <v>96146.62</v>
      </c>
      <c r="F20" s="326">
        <f>'Skola, STR &amp; Spcfr'!E20+'Skola, STR &amp; Spcfr'!F20</f>
        <v>11901.9</v>
      </c>
      <c r="G20" s="326">
        <f>Specialfritids!D23</f>
        <v>16128.67</v>
      </c>
      <c r="H20" s="326">
        <f>Sociala!B19</f>
        <v>168318.76</v>
      </c>
      <c r="I20" s="326">
        <f>Sociala!C19</f>
        <v>141128.87</v>
      </c>
      <c r="J20" s="326">
        <f>'Kultur&amp;Medis'!B19</f>
        <v>17143.13</v>
      </c>
      <c r="K20" s="326"/>
      <c r="L20" s="781">
        <f t="shared" si="0"/>
        <v>2168379.7075999998</v>
      </c>
      <c r="M20" s="776">
        <f t="shared" si="1"/>
        <v>2166.2134941058939</v>
      </c>
      <c r="N20" s="776"/>
      <c r="O20" s="778">
        <f t="shared" si="3"/>
        <v>2027250.8375999997</v>
      </c>
      <c r="P20" s="776">
        <f t="shared" si="4"/>
        <v>2025.2256119880117</v>
      </c>
      <c r="R20" s="427">
        <v>1001</v>
      </c>
      <c r="S20" s="312">
        <v>112</v>
      </c>
      <c r="U20" s="2"/>
      <c r="V20" s="2"/>
      <c r="W20" s="778">
        <v>1937618.1359999999</v>
      </c>
      <c r="X20" s="778">
        <f t="shared" si="5"/>
        <v>2027250.8375999997</v>
      </c>
      <c r="Y20" s="657">
        <f t="shared" si="2"/>
        <v>89632.701599999797</v>
      </c>
      <c r="Z20" s="6" t="s">
        <v>105</v>
      </c>
    </row>
    <row r="21" spans="1:26" ht="21">
      <c r="A21" s="6" t="s">
        <v>106</v>
      </c>
      <c r="B21" s="326">
        <f>Skattekomplettering!B21</f>
        <v>672104.59</v>
      </c>
      <c r="C21" s="326">
        <f>'Skola, STR &amp; Spcfr'!B21</f>
        <v>423102.54</v>
      </c>
      <c r="D21" s="326">
        <f>Barnomsorg!B20</f>
        <v>190002.23640000002</v>
      </c>
      <c r="E21" s="326">
        <f>'Skola, STR &amp; Spcfr'!C21</f>
        <v>23207.81</v>
      </c>
      <c r="F21" s="326">
        <f>'Skola, STR &amp; Spcfr'!E21+'Skola, STR &amp; Spcfr'!F21</f>
        <v>23803.8</v>
      </c>
      <c r="G21" s="326">
        <f>Specialfritids!D24</f>
        <v>6641.22</v>
      </c>
      <c r="H21" s="326">
        <f>Sociala!B20</f>
        <v>226403.71</v>
      </c>
      <c r="I21" s="326">
        <f>Sociala!C20</f>
        <v>63585.53</v>
      </c>
      <c r="J21" s="326">
        <f>'Kultur&amp;Medis'!B20</f>
        <v>7723.83</v>
      </c>
      <c r="K21" s="326"/>
      <c r="L21" s="781">
        <f t="shared" si="0"/>
        <v>1636575.2664000001</v>
      </c>
      <c r="M21" s="776">
        <f t="shared" si="1"/>
        <v>3628.7699920177383</v>
      </c>
      <c r="N21" s="776"/>
      <c r="O21" s="778">
        <f t="shared" si="3"/>
        <v>1572989.7364000001</v>
      </c>
      <c r="P21" s="776">
        <f t="shared" si="4"/>
        <v>3487.7821206208428</v>
      </c>
      <c r="R21" s="427">
        <v>451</v>
      </c>
      <c r="S21" s="312">
        <v>42</v>
      </c>
      <c r="W21" s="778">
        <v>1547441.5674000001</v>
      </c>
      <c r="X21" s="778">
        <f t="shared" si="5"/>
        <v>1572989.7364000001</v>
      </c>
      <c r="Y21" s="657">
        <f t="shared" si="2"/>
        <v>25548.168999999994</v>
      </c>
      <c r="Z21" s="6" t="s">
        <v>106</v>
      </c>
    </row>
    <row r="22" spans="1:26" ht="21">
      <c r="A22" s="6" t="s">
        <v>107</v>
      </c>
      <c r="B22" s="326">
        <f>Skattekomplettering!B22</f>
        <v>366425.93</v>
      </c>
      <c r="C22" s="326">
        <f>'Skola, STR &amp; Spcfr'!B22</f>
        <v>783973.33</v>
      </c>
      <c r="D22" s="326">
        <f>Barnomsorg!B21</f>
        <v>1416886.5177</v>
      </c>
      <c r="E22" s="326">
        <f>'Skola, STR &amp; Spcfr'!C22</f>
        <v>222131.86</v>
      </c>
      <c r="F22" s="326">
        <f>'Skola, STR &amp; Spcfr'!E22+'Skola, STR &amp; Spcfr'!F22</f>
        <v>582655.14</v>
      </c>
      <c r="G22" s="326">
        <f>Specialfritids!D25</f>
        <v>40796.04</v>
      </c>
      <c r="H22" s="326">
        <f>Sociala!B21</f>
        <v>2052823.92</v>
      </c>
      <c r="I22" s="326">
        <f>Sociala!C21</f>
        <v>1657594.51</v>
      </c>
      <c r="J22" s="326">
        <f>'Kultur&amp;Medis'!B21</f>
        <v>201350.38</v>
      </c>
      <c r="K22" s="326"/>
      <c r="L22" s="781">
        <f t="shared" si="0"/>
        <v>7324637.6277000001</v>
      </c>
      <c r="M22" s="776">
        <f t="shared" si="1"/>
        <v>623.00226483796882</v>
      </c>
      <c r="N22" s="776"/>
      <c r="O22" s="778">
        <f t="shared" si="3"/>
        <v>5667043.1177000003</v>
      </c>
      <c r="P22" s="776">
        <f>O22/R22</f>
        <v>482.01438442629927</v>
      </c>
      <c r="R22" s="427">
        <v>11757</v>
      </c>
      <c r="S22" s="313">
        <v>1231</v>
      </c>
      <c r="W22" s="778">
        <v>5005659.0842000004</v>
      </c>
      <c r="X22" s="778">
        <f t="shared" si="5"/>
        <v>5667043.1177000003</v>
      </c>
      <c r="Y22" s="657">
        <f t="shared" si="2"/>
        <v>661384.0334999999</v>
      </c>
      <c r="Z22" s="6" t="s">
        <v>107</v>
      </c>
    </row>
    <row r="23" spans="1:26" ht="21">
      <c r="A23" s="6"/>
      <c r="B23" s="326"/>
      <c r="C23" s="326"/>
      <c r="D23" s="326"/>
      <c r="E23" s="326"/>
      <c r="F23" s="326"/>
      <c r="G23" s="326"/>
      <c r="H23" s="326"/>
      <c r="I23" s="326"/>
      <c r="J23" s="326"/>
      <c r="K23" s="326"/>
      <c r="L23" s="781"/>
      <c r="M23" s="776"/>
      <c r="N23" s="776"/>
      <c r="O23" s="778"/>
      <c r="P23" s="776"/>
      <c r="R23" s="360"/>
      <c r="S23" s="98"/>
      <c r="W23" s="778"/>
      <c r="X23" s="778"/>
      <c r="Y23" s="657"/>
      <c r="Z23" s="6"/>
    </row>
    <row r="24" spans="1:26" ht="21">
      <c r="A24" s="84"/>
      <c r="B24" s="326"/>
      <c r="C24" s="326"/>
      <c r="D24" s="326"/>
      <c r="E24" s="326"/>
      <c r="F24" s="326"/>
      <c r="G24" s="326"/>
      <c r="H24" s="326"/>
      <c r="I24" s="326"/>
      <c r="J24" s="326"/>
      <c r="K24" s="326"/>
      <c r="L24" s="781"/>
      <c r="M24" s="776"/>
      <c r="N24" s="776"/>
      <c r="O24" s="778"/>
      <c r="P24" s="776"/>
      <c r="R24" s="360"/>
      <c r="S24" s="357"/>
      <c r="W24" s="778"/>
      <c r="X24" s="778"/>
      <c r="Y24" s="657"/>
    </row>
    <row r="25" spans="1:26" ht="21">
      <c r="A25" s="84"/>
      <c r="B25" s="391"/>
      <c r="C25" s="391"/>
      <c r="D25" s="391"/>
      <c r="E25" s="391"/>
      <c r="F25" s="391"/>
      <c r="G25" s="391"/>
      <c r="H25" s="391"/>
      <c r="I25" s="392"/>
      <c r="J25" s="391"/>
      <c r="K25" s="391"/>
      <c r="L25" s="393"/>
      <c r="M25" s="297"/>
      <c r="N25" s="782"/>
      <c r="O25" s="297"/>
      <c r="P25" s="392"/>
      <c r="R25" s="360"/>
      <c r="S25" s="358"/>
      <c r="W25" s="297"/>
      <c r="Y25" s="658"/>
    </row>
    <row r="26" spans="1:26" ht="21.75" thickBot="1">
      <c r="A26" s="9" t="s">
        <v>108</v>
      </c>
      <c r="B26" s="327">
        <f t="shared" ref="B26:C26" si="6">SUM(B7:B22)</f>
        <v>16920145.690000001</v>
      </c>
      <c r="C26" s="327">
        <f t="shared" si="6"/>
        <v>6287492.5099999998</v>
      </c>
      <c r="D26" s="327">
        <f>SUM(D7:D22)</f>
        <v>4847174.5544999987</v>
      </c>
      <c r="E26" s="327">
        <f>SUM(E7:E22)</f>
        <v>1249906.1200000001</v>
      </c>
      <c r="F26" s="327">
        <f>SUM(F7:F22)</f>
        <v>1302989.6400000001</v>
      </c>
      <c r="G26" s="327">
        <f t="shared" ref="G26:J26" si="7">SUM(G7:G22)</f>
        <v>245724.98</v>
      </c>
      <c r="H26" s="327">
        <f t="shared" si="7"/>
        <v>5478801.7299999995</v>
      </c>
      <c r="I26" s="327">
        <f t="shared" si="7"/>
        <v>4280251.0600000005</v>
      </c>
      <c r="J26" s="327">
        <f t="shared" si="7"/>
        <v>519928.25</v>
      </c>
      <c r="K26" s="327"/>
      <c r="L26" s="394">
        <f>SUM(L7:L25)</f>
        <v>41132414.534499995</v>
      </c>
      <c r="M26" s="776">
        <f>L26/R26</f>
        <v>1354.8672398465033</v>
      </c>
      <c r="N26" s="14"/>
      <c r="O26" s="14">
        <f>SUM(O7:O22)</f>
        <v>36852163.4745</v>
      </c>
      <c r="P26" s="776"/>
      <c r="R26" s="360">
        <f>SUM(R7:R22)</f>
        <v>30359</v>
      </c>
      <c r="S26" s="98">
        <f>SUM(S7:S22)</f>
        <v>3529</v>
      </c>
      <c r="U26" s="2"/>
      <c r="V26" s="2"/>
      <c r="W26" s="14">
        <f>SUM(W7:W22)</f>
        <v>34709421.920299999</v>
      </c>
      <c r="X26" s="14">
        <f>SUM(X7:X22)</f>
        <v>36852163.4745</v>
      </c>
      <c r="Y26" s="654">
        <f>O26-W26</f>
        <v>2142741.5542000011</v>
      </c>
    </row>
    <row r="27" spans="1:26" ht="15.75">
      <c r="B27" s="614">
        <f>'Skattekompl data'!G140</f>
        <v>16920145.690000001</v>
      </c>
      <c r="C27" s="614">
        <f>'Skola data'!D133</f>
        <v>6287492.5099999998</v>
      </c>
      <c r="D27" s="614">
        <f>Barnomsorg!B22</f>
        <v>4847174.5544999987</v>
      </c>
      <c r="E27" s="615">
        <f>STR!D26</f>
        <v>1249906.1200000001</v>
      </c>
      <c r="F27" s="614">
        <f>'Skola, STR &amp; Spcfr'!E23+'Skola, STR &amp; Spcfr'!F23</f>
        <v>1302989.6400000001</v>
      </c>
      <c r="G27" s="614">
        <f>'Skola, STR &amp; Spcfr'!D23</f>
        <v>245724.98</v>
      </c>
      <c r="H27" s="614">
        <f>Sociala!B22</f>
        <v>5478801.7299999995</v>
      </c>
      <c r="I27" s="614">
        <f>Sociala!C22</f>
        <v>4280251.0600000005</v>
      </c>
      <c r="J27" s="614">
        <f>'K&amp;M data'!D30</f>
        <v>519928.25</v>
      </c>
      <c r="K27" s="2"/>
      <c r="L27" s="394">
        <f>SUM(B26:K26)</f>
        <v>41132414.534500003</v>
      </c>
      <c r="M27" s="2"/>
      <c r="N27" s="2"/>
      <c r="O27" s="2"/>
      <c r="P27" s="2"/>
      <c r="R27" s="14"/>
    </row>
    <row r="28" spans="1:26">
      <c r="C28" s="356"/>
      <c r="E28" s="395"/>
      <c r="F28" s="395"/>
      <c r="G28" s="395"/>
      <c r="O28" s="493">
        <f>L26-O26</f>
        <v>4280251.0599999949</v>
      </c>
      <c r="Y28" s="491"/>
    </row>
    <row r="29" spans="1:26">
      <c r="C29" s="356"/>
      <c r="D29" s="356"/>
      <c r="H29" s="356"/>
    </row>
    <row r="30" spans="1:26" ht="24" thickBot="1">
      <c r="A30" s="648" t="s">
        <v>129</v>
      </c>
      <c r="B30" s="2">
        <f>B60</f>
        <v>1189680.2300000004</v>
      </c>
      <c r="C30" s="2">
        <f t="shared" ref="C30:O30" si="8">C60</f>
        <v>311175.68000000156</v>
      </c>
      <c r="D30" s="2">
        <f t="shared" si="8"/>
        <v>112241.64419999812</v>
      </c>
      <c r="E30" s="2">
        <f t="shared" si="8"/>
        <v>54247.479999999981</v>
      </c>
      <c r="F30" s="2">
        <f t="shared" si="8"/>
        <v>56551.680000000168</v>
      </c>
      <c r="G30" s="2">
        <f t="shared" si="8"/>
        <v>10664.779999999999</v>
      </c>
      <c r="H30" s="2">
        <f t="shared" si="8"/>
        <v>385377.58999999892</v>
      </c>
      <c r="I30" s="2">
        <f t="shared" si="8"/>
        <v>187805.56000000052</v>
      </c>
      <c r="J30" s="2">
        <f t="shared" si="8"/>
        <v>22802.469999999972</v>
      </c>
      <c r="K30" s="2"/>
      <c r="L30" s="496">
        <f t="shared" si="8"/>
        <v>2330547.1141999885</v>
      </c>
      <c r="M30" s="776"/>
      <c r="N30" s="2">
        <f t="shared" si="8"/>
        <v>0</v>
      </c>
      <c r="O30" s="2">
        <f t="shared" si="8"/>
        <v>2142741.5542000011</v>
      </c>
    </row>
    <row r="31" spans="1:26" ht="21.75" customHeight="1" thickTop="1" thickBot="1">
      <c r="A31" s="648"/>
      <c r="C31" s="492"/>
      <c r="D31" s="492"/>
      <c r="E31" s="492"/>
      <c r="F31" s="616"/>
      <c r="K31" s="495"/>
      <c r="Y31" s="2"/>
    </row>
    <row r="32" spans="1:26" ht="17.25" thickTop="1" thickBot="1">
      <c r="A32" s="648"/>
      <c r="B32" s="598">
        <f>B30/B26</f>
        <v>7.0311464912687777E-2</v>
      </c>
      <c r="C32" s="598">
        <f t="shared" ref="C32:J32" si="9">C30/C26</f>
        <v>4.9491220785565844E-2</v>
      </c>
      <c r="D32" s="598">
        <f t="shared" si="9"/>
        <v>2.3156097008265507E-2</v>
      </c>
      <c r="E32" s="598">
        <f t="shared" si="9"/>
        <v>4.3401243606999838E-2</v>
      </c>
      <c r="F32" s="598">
        <f t="shared" si="9"/>
        <v>4.3401480920447044E-2</v>
      </c>
      <c r="G32" s="598">
        <f t="shared" si="9"/>
        <v>4.3401285453355205E-2</v>
      </c>
      <c r="H32" s="662">
        <f t="shared" si="9"/>
        <v>7.033975839822898E-2</v>
      </c>
      <c r="I32" s="598">
        <f t="shared" si="9"/>
        <v>4.387722994921716E-2</v>
      </c>
      <c r="J32" s="598">
        <f t="shared" si="9"/>
        <v>4.385695526257704E-2</v>
      </c>
      <c r="O32" s="610"/>
      <c r="R32" s="610"/>
      <c r="S32" s="55"/>
      <c r="T32" s="610"/>
    </row>
    <row r="33" spans="3:20" ht="16.5" thickTop="1">
      <c r="C33" s="376"/>
      <c r="D33" s="55"/>
      <c r="E33" s="55"/>
      <c r="F33" s="55"/>
      <c r="H33" s="356"/>
      <c r="O33" s="776"/>
      <c r="R33" s="776"/>
      <c r="T33" s="776"/>
    </row>
    <row r="34" spans="3:20" ht="15.75">
      <c r="C34" s="55"/>
      <c r="D34" s="55"/>
      <c r="E34" s="55"/>
      <c r="F34" s="55"/>
      <c r="O34" s="776"/>
      <c r="R34" s="776"/>
      <c r="T34" s="776"/>
    </row>
    <row r="35" spans="3:20" ht="15.75">
      <c r="D35" s="356"/>
      <c r="H35" s="356"/>
      <c r="O35" s="776"/>
      <c r="R35" s="776"/>
      <c r="T35" s="776"/>
    </row>
    <row r="36" spans="3:20" ht="15.75">
      <c r="C36" s="6"/>
      <c r="D36" s="356"/>
      <c r="F36" s="379"/>
      <c r="O36" s="776"/>
      <c r="R36" s="776"/>
      <c r="T36" s="776"/>
    </row>
    <row r="37" spans="3:20" ht="15.75">
      <c r="C37" s="6"/>
      <c r="D37" s="356"/>
      <c r="F37" s="647"/>
      <c r="O37" s="776"/>
      <c r="R37" s="776"/>
      <c r="T37" s="776"/>
    </row>
    <row r="38" spans="3:20" ht="15.75">
      <c r="C38" s="6"/>
      <c r="D38" s="356"/>
      <c r="E38" s="1"/>
      <c r="F38" s="2"/>
      <c r="H38" s="356"/>
      <c r="O38" s="776"/>
      <c r="R38" s="776"/>
      <c r="T38" s="776"/>
    </row>
    <row r="39" spans="3:20" ht="15.75">
      <c r="C39" s="6"/>
      <c r="D39" s="356"/>
      <c r="F39" s="356"/>
      <c r="O39" s="776"/>
      <c r="R39" s="776"/>
      <c r="T39" s="776"/>
    </row>
    <row r="40" spans="3:20" ht="15.75">
      <c r="D40" s="356"/>
      <c r="F40" s="356"/>
      <c r="O40" s="776"/>
      <c r="R40" s="776"/>
      <c r="T40" s="776"/>
    </row>
    <row r="41" spans="3:20" ht="15.75">
      <c r="D41" s="356"/>
      <c r="F41" s="356"/>
      <c r="O41" s="776"/>
      <c r="R41" s="776"/>
      <c r="T41" s="776"/>
    </row>
    <row r="42" spans="3:20" ht="15.75">
      <c r="D42" s="356"/>
      <c r="F42" s="356"/>
      <c r="O42" s="776"/>
      <c r="R42" s="776"/>
      <c r="T42" s="776"/>
    </row>
    <row r="43" spans="3:20" ht="15.75">
      <c r="D43" s="356"/>
      <c r="F43" s="356"/>
      <c r="O43" s="776"/>
      <c r="R43" s="776"/>
      <c r="T43" s="776"/>
    </row>
    <row r="44" spans="3:20" ht="15.75">
      <c r="D44" s="356"/>
      <c r="F44" s="356"/>
      <c r="O44" s="776"/>
      <c r="R44" s="776"/>
      <c r="T44" s="776"/>
    </row>
    <row r="45" spans="3:20" ht="15.75">
      <c r="D45" s="356"/>
      <c r="F45" s="356"/>
      <c r="O45" s="776"/>
      <c r="R45" s="776"/>
      <c r="T45" s="776"/>
    </row>
    <row r="46" spans="3:20" ht="15.75">
      <c r="D46" s="356"/>
      <c r="F46" s="356"/>
      <c r="O46" s="776"/>
      <c r="R46" s="776"/>
      <c r="T46" s="776"/>
    </row>
    <row r="47" spans="3:20" ht="15.75">
      <c r="D47" s="356"/>
      <c r="F47" s="356"/>
      <c r="O47" s="776"/>
      <c r="R47" s="776"/>
      <c r="T47" s="776"/>
    </row>
    <row r="48" spans="3:20" ht="15.75">
      <c r="D48" s="356"/>
      <c r="F48" s="356"/>
      <c r="O48" s="776"/>
      <c r="R48" s="776"/>
      <c r="T48" s="776"/>
    </row>
    <row r="49" spans="1:20" ht="15.75">
      <c r="D49" s="356"/>
      <c r="F49" s="356"/>
      <c r="O49" s="776"/>
      <c r="R49" s="776"/>
      <c r="T49" s="776"/>
    </row>
    <row r="50" spans="1:20" ht="15.75">
      <c r="C50" s="13"/>
      <c r="D50" s="356"/>
      <c r="F50" s="356"/>
      <c r="O50" s="776"/>
      <c r="R50" s="776"/>
      <c r="T50" s="776"/>
    </row>
    <row r="51" spans="1:20" ht="15.75">
      <c r="C51" s="13"/>
      <c r="D51" s="356"/>
      <c r="F51" s="356"/>
      <c r="O51" s="611"/>
      <c r="R51" s="611"/>
      <c r="T51" s="611"/>
    </row>
    <row r="52" spans="1:20" ht="15.75">
      <c r="C52" s="13"/>
      <c r="D52" s="356"/>
      <c r="O52" s="14"/>
      <c r="R52" s="14"/>
      <c r="T52" s="14"/>
    </row>
    <row r="53" spans="1:20" ht="15.75">
      <c r="C53" s="13"/>
      <c r="D53" s="356"/>
      <c r="H53" s="2">
        <f>H56+I56</f>
        <v>9185869.6400000006</v>
      </c>
    </row>
    <row r="54" spans="1:20" ht="15.75">
      <c r="A54">
        <v>2023</v>
      </c>
      <c r="C54" s="13"/>
      <c r="D54" s="356"/>
    </row>
    <row r="55" spans="1:20" ht="15.75">
      <c r="C55" s="13"/>
      <c r="D55" s="356"/>
    </row>
    <row r="56" spans="1:20" ht="15.75">
      <c r="A56" s="9" t="s">
        <v>108</v>
      </c>
      <c r="B56" s="327">
        <v>15730465.460000001</v>
      </c>
      <c r="C56" s="327">
        <v>5976316.8299999982</v>
      </c>
      <c r="D56" s="327">
        <v>4734932.9103000006</v>
      </c>
      <c r="E56" s="327">
        <v>1195658.6400000001</v>
      </c>
      <c r="F56" s="327">
        <v>1246437.96</v>
      </c>
      <c r="G56" s="327">
        <v>235060.2</v>
      </c>
      <c r="H56" s="327">
        <v>5093424.1400000006</v>
      </c>
      <c r="I56" s="327">
        <v>4092445.5</v>
      </c>
      <c r="J56" s="327">
        <v>497125.78</v>
      </c>
      <c r="K56" s="327"/>
      <c r="L56" s="394">
        <f>SUM(B56:J56)</f>
        <v>38801867.420300007</v>
      </c>
      <c r="M56" s="776">
        <v>1212.855718426765</v>
      </c>
      <c r="N56" s="14"/>
      <c r="O56" s="14">
        <v>34709421.920299999</v>
      </c>
      <c r="P56" s="776"/>
    </row>
    <row r="57" spans="1:20" ht="15.75">
      <c r="B57" s="2"/>
      <c r="C57" s="2"/>
      <c r="D57" s="2"/>
      <c r="E57" s="395"/>
      <c r="F57" s="395"/>
      <c r="G57" s="395"/>
      <c r="H57" s="2"/>
      <c r="I57" s="2"/>
      <c r="J57" s="2"/>
      <c r="K57" s="2"/>
      <c r="L57" s="394"/>
      <c r="M57" s="2"/>
      <c r="N57" s="2"/>
      <c r="O57" s="2"/>
      <c r="P57" s="2"/>
    </row>
    <row r="58" spans="1:20" ht="15.75">
      <c r="C58" s="13"/>
    </row>
    <row r="59" spans="1:20" ht="15.75">
      <c r="C59" s="13"/>
    </row>
    <row r="60" spans="1:20">
      <c r="A60" t="s">
        <v>130</v>
      </c>
      <c r="B60" s="2">
        <f>B26-B56</f>
        <v>1189680.2300000004</v>
      </c>
      <c r="C60" s="2">
        <f t="shared" ref="C60:O60" si="10">C26-C56</f>
        <v>311175.68000000156</v>
      </c>
      <c r="D60" s="2">
        <f t="shared" si="10"/>
        <v>112241.64419999812</v>
      </c>
      <c r="E60" s="2">
        <f t="shared" si="10"/>
        <v>54247.479999999981</v>
      </c>
      <c r="F60" s="2">
        <f t="shared" si="10"/>
        <v>56551.680000000168</v>
      </c>
      <c r="G60" s="2">
        <f t="shared" si="10"/>
        <v>10664.779999999999</v>
      </c>
      <c r="H60" s="2">
        <f t="shared" si="10"/>
        <v>385377.58999999892</v>
      </c>
      <c r="I60" s="2">
        <f t="shared" si="10"/>
        <v>187805.56000000052</v>
      </c>
      <c r="J60" s="2">
        <f t="shared" si="10"/>
        <v>22802.469999999972</v>
      </c>
      <c r="K60" s="2">
        <f t="shared" si="10"/>
        <v>0</v>
      </c>
      <c r="L60" s="2">
        <f t="shared" si="10"/>
        <v>2330547.1141999885</v>
      </c>
      <c r="M60" s="2">
        <f t="shared" si="10"/>
        <v>142.0115214197383</v>
      </c>
      <c r="N60" s="2">
        <f t="shared" si="10"/>
        <v>0</v>
      </c>
      <c r="O60" s="2">
        <f t="shared" si="10"/>
        <v>2142741.5542000011</v>
      </c>
    </row>
    <row r="61" spans="1:20" ht="15.75">
      <c r="C61" s="13"/>
    </row>
    <row r="62" spans="1:20" ht="15.75">
      <c r="C62" s="13"/>
    </row>
    <row r="70" spans="1:19" ht="15.75">
      <c r="A70" s="82">
        <v>2023</v>
      </c>
    </row>
    <row r="71" spans="1:19" ht="15.75">
      <c r="A71" s="83"/>
      <c r="F71" s="837"/>
    </row>
    <row r="72" spans="1:19">
      <c r="B72" s="372"/>
      <c r="F72" s="837"/>
    </row>
    <row r="73" spans="1:19" ht="45">
      <c r="A73" s="780"/>
      <c r="B73" s="87" t="s">
        <v>120</v>
      </c>
      <c r="C73" s="87" t="s">
        <v>121</v>
      </c>
      <c r="D73" s="87" t="s">
        <v>122</v>
      </c>
      <c r="E73" s="87" t="s">
        <v>22</v>
      </c>
      <c r="F73" s="87" t="s">
        <v>123</v>
      </c>
      <c r="G73" s="87" t="s">
        <v>124</v>
      </c>
      <c r="H73" s="87" t="s">
        <v>125</v>
      </c>
      <c r="I73" s="87" t="s">
        <v>126</v>
      </c>
      <c r="J73" s="87" t="s">
        <v>62</v>
      </c>
      <c r="K73" s="87" t="s">
        <v>131</v>
      </c>
      <c r="L73" s="87" t="s">
        <v>67</v>
      </c>
      <c r="M73" s="87" t="s">
        <v>127</v>
      </c>
      <c r="N73" s="87"/>
      <c r="O73" s="87" t="s">
        <v>90</v>
      </c>
      <c r="P73" s="87" t="s">
        <v>127</v>
      </c>
      <c r="Q73" s="55"/>
      <c r="R73" s="428" t="s">
        <v>132</v>
      </c>
      <c r="S73" s="359" t="s">
        <v>128</v>
      </c>
    </row>
    <row r="74" spans="1:19" ht="15.75">
      <c r="A74" s="6" t="s">
        <v>92</v>
      </c>
      <c r="B74" s="326">
        <v>68628.899999999994</v>
      </c>
      <c r="C74" s="326">
        <v>348683.66</v>
      </c>
      <c r="D74" s="326">
        <v>64069.727399999996</v>
      </c>
      <c r="E74" s="326">
        <v>0</v>
      </c>
      <c r="F74" s="326">
        <v>45541.36</v>
      </c>
      <c r="G74" s="326">
        <v>0</v>
      </c>
      <c r="H74" s="326">
        <v>242805.9</v>
      </c>
      <c r="I74" s="326">
        <v>60555.89</v>
      </c>
      <c r="J74" s="326">
        <v>7355.97</v>
      </c>
      <c r="K74" s="326">
        <v>0</v>
      </c>
      <c r="L74" s="781">
        <v>837641.40739999991</v>
      </c>
      <c r="M74" s="776">
        <v>1865.5710632516702</v>
      </c>
      <c r="N74" s="776"/>
      <c r="O74" s="778">
        <v>777085.5173999999</v>
      </c>
      <c r="P74" s="776">
        <v>1730.7027113585743</v>
      </c>
      <c r="R74" s="427">
        <v>449</v>
      </c>
      <c r="S74" s="312">
        <v>31</v>
      </c>
    </row>
    <row r="75" spans="1:19" ht="15.75">
      <c r="A75" s="6" t="s">
        <v>93</v>
      </c>
      <c r="B75" s="326">
        <v>1146699.67</v>
      </c>
      <c r="C75" s="326">
        <v>368888.95</v>
      </c>
      <c r="D75" s="326">
        <v>120387.06780000002</v>
      </c>
      <c r="E75" s="326">
        <v>76116.2</v>
      </c>
      <c r="F75" s="326">
        <v>27514.57</v>
      </c>
      <c r="G75" s="326">
        <v>10890.82</v>
      </c>
      <c r="H75" s="326">
        <v>161623.91</v>
      </c>
      <c r="I75" s="326">
        <v>125832.18</v>
      </c>
      <c r="J75" s="326">
        <v>15285.34</v>
      </c>
      <c r="K75" s="326">
        <v>0</v>
      </c>
      <c r="L75" s="781">
        <v>2053238.7078</v>
      </c>
      <c r="M75" s="776">
        <v>2200.6845742765272</v>
      </c>
      <c r="N75" s="776"/>
      <c r="O75" s="778">
        <v>1927406.5278</v>
      </c>
      <c r="P75" s="776">
        <v>2065.8162141479102</v>
      </c>
      <c r="R75" s="427">
        <v>933</v>
      </c>
      <c r="S75" s="312">
        <v>93</v>
      </c>
    </row>
    <row r="76" spans="1:19" ht="15.75">
      <c r="A76" s="6" t="s">
        <v>94</v>
      </c>
      <c r="B76" s="326">
        <v>2648623.6</v>
      </c>
      <c r="C76" s="326">
        <v>462721</v>
      </c>
      <c r="D76" s="326">
        <v>404749.62450000003</v>
      </c>
      <c r="E76" s="326">
        <v>31715.08</v>
      </c>
      <c r="F76" s="326">
        <v>114029.73</v>
      </c>
      <c r="G76" s="326">
        <v>9075.68</v>
      </c>
      <c r="H76" s="326">
        <v>329728.95</v>
      </c>
      <c r="I76" s="326">
        <v>355782.73</v>
      </c>
      <c r="J76" s="326">
        <v>43218.35</v>
      </c>
      <c r="K76" s="326">
        <v>0</v>
      </c>
      <c r="L76" s="781">
        <v>4399644.7445</v>
      </c>
      <c r="M76" s="776">
        <v>1667.7955816906747</v>
      </c>
      <c r="N76" s="776"/>
      <c r="O76" s="778">
        <v>4043862.0145</v>
      </c>
      <c r="P76" s="776">
        <v>1532.9272230856709</v>
      </c>
      <c r="R76" s="427">
        <v>2638</v>
      </c>
      <c r="S76" s="312">
        <v>339</v>
      </c>
    </row>
    <row r="77" spans="1:19" ht="15.75">
      <c r="A77" s="6" t="s">
        <v>95</v>
      </c>
      <c r="B77" s="326">
        <v>478372.48</v>
      </c>
      <c r="C77" s="326">
        <v>382714.17</v>
      </c>
      <c r="D77" s="326">
        <v>142243.79760000002</v>
      </c>
      <c r="E77" s="326">
        <v>38058.1</v>
      </c>
      <c r="F77" s="326">
        <v>34156.019999999997</v>
      </c>
      <c r="G77" s="326">
        <v>0</v>
      </c>
      <c r="H77" s="326">
        <v>260559.57</v>
      </c>
      <c r="I77" s="326">
        <v>67569.05</v>
      </c>
      <c r="J77" s="326">
        <v>8207.8799999999992</v>
      </c>
      <c r="K77" s="326">
        <v>0</v>
      </c>
      <c r="L77" s="781">
        <v>1411881.0676</v>
      </c>
      <c r="M77" s="776">
        <v>2818.1258834331338</v>
      </c>
      <c r="N77" s="776"/>
      <c r="O77" s="778">
        <v>1344312.0175999999</v>
      </c>
      <c r="P77" s="776">
        <v>2683.2575201596806</v>
      </c>
      <c r="R77" s="427">
        <v>501</v>
      </c>
      <c r="S77" s="312">
        <v>39</v>
      </c>
    </row>
    <row r="78" spans="1:19" ht="15.75">
      <c r="A78" s="6" t="s">
        <v>96</v>
      </c>
      <c r="B78" s="326">
        <v>977016.88</v>
      </c>
      <c r="C78" s="326">
        <v>311185.65999999997</v>
      </c>
      <c r="D78" s="326">
        <v>70571.729400000011</v>
      </c>
      <c r="E78" s="326">
        <v>60258.66</v>
      </c>
      <c r="F78" s="326">
        <v>47438.92</v>
      </c>
      <c r="G78" s="326">
        <v>0</v>
      </c>
      <c r="H78" s="326">
        <v>90358.55</v>
      </c>
      <c r="I78" s="326">
        <v>68108.52</v>
      </c>
      <c r="J78" s="326">
        <v>8273.42</v>
      </c>
      <c r="K78" s="326">
        <v>0</v>
      </c>
      <c r="L78" s="781">
        <v>1633212.3393999999</v>
      </c>
      <c r="M78" s="776">
        <v>3234.0838403960397</v>
      </c>
      <c r="N78" s="776"/>
      <c r="O78" s="778">
        <v>1565103.8193999999</v>
      </c>
      <c r="P78" s="776">
        <v>3099.2154839603959</v>
      </c>
      <c r="R78" s="427">
        <v>505</v>
      </c>
      <c r="S78" s="312">
        <v>62</v>
      </c>
    </row>
    <row r="79" spans="1:19" ht="15.75">
      <c r="A79" s="6" t="s">
        <v>97</v>
      </c>
      <c r="B79" s="326">
        <v>2157929.5</v>
      </c>
      <c r="C79" s="326">
        <v>417962.42</v>
      </c>
      <c r="D79" s="326">
        <v>247001.05290000004</v>
      </c>
      <c r="E79" s="326">
        <v>15857.54</v>
      </c>
      <c r="F79" s="326">
        <v>72107.149999999994</v>
      </c>
      <c r="G79" s="326">
        <v>0</v>
      </c>
      <c r="H79" s="326">
        <v>227514.18</v>
      </c>
      <c r="I79" s="326">
        <v>218351.87</v>
      </c>
      <c r="J79" s="326">
        <v>26524.080000000002</v>
      </c>
      <c r="K79" s="326">
        <v>0</v>
      </c>
      <c r="L79" s="781">
        <v>3383247.7929000002</v>
      </c>
      <c r="M79" s="776">
        <v>2089.7145107473752</v>
      </c>
      <c r="N79" s="776"/>
      <c r="O79" s="778">
        <v>3164895.9229000001</v>
      </c>
      <c r="P79" s="776">
        <v>1954.8461537368746</v>
      </c>
      <c r="R79" s="427">
        <v>1619</v>
      </c>
      <c r="S79" s="312">
        <v>200</v>
      </c>
    </row>
    <row r="80" spans="1:19" ht="15.75">
      <c r="A80" s="6" t="s">
        <v>98</v>
      </c>
      <c r="B80" s="326">
        <v>2433511</v>
      </c>
      <c r="C80" s="326">
        <v>600860.78</v>
      </c>
      <c r="D80" s="326">
        <v>1120845.1140000001</v>
      </c>
      <c r="E80" s="326">
        <v>374237.98</v>
      </c>
      <c r="F80" s="326">
        <v>98672.95</v>
      </c>
      <c r="G80" s="326">
        <v>104370.36</v>
      </c>
      <c r="H80" s="326">
        <v>446916.27</v>
      </c>
      <c r="I80" s="326">
        <v>743394.4</v>
      </c>
      <c r="J80" s="326">
        <v>90303.1</v>
      </c>
      <c r="K80" s="326">
        <v>0</v>
      </c>
      <c r="L80" s="781">
        <v>6013111.9539999999</v>
      </c>
      <c r="M80" s="776">
        <v>1090.9129089259798</v>
      </c>
      <c r="N80" s="776"/>
      <c r="O80" s="778">
        <v>5269717.5539999995</v>
      </c>
      <c r="P80" s="776">
        <v>956.0445489840348</v>
      </c>
      <c r="R80" s="427">
        <v>5512</v>
      </c>
      <c r="S80" s="312">
        <v>768</v>
      </c>
    </row>
    <row r="81" spans="1:19" ht="15.75">
      <c r="A81" s="6" t="s">
        <v>99</v>
      </c>
      <c r="B81" s="326">
        <v>287747.42</v>
      </c>
      <c r="C81" s="326">
        <v>213709.34</v>
      </c>
      <c r="D81" s="326">
        <v>82375.363799999992</v>
      </c>
      <c r="E81" s="326">
        <v>0</v>
      </c>
      <c r="F81" s="326">
        <v>65547.210000000006</v>
      </c>
      <c r="G81" s="326">
        <v>0</v>
      </c>
      <c r="H81" s="326">
        <v>235164.67</v>
      </c>
      <c r="I81" s="326">
        <v>42213.8</v>
      </c>
      <c r="J81" s="326">
        <v>5127.88</v>
      </c>
      <c r="K81" s="326">
        <v>0</v>
      </c>
      <c r="L81" s="781">
        <v>931885.6838</v>
      </c>
      <c r="M81" s="776">
        <v>2977.2705552715656</v>
      </c>
      <c r="N81" s="776"/>
      <c r="O81" s="778">
        <v>889671.88379999995</v>
      </c>
      <c r="P81" s="776">
        <v>2842.4021846645364</v>
      </c>
      <c r="R81" s="427">
        <v>313</v>
      </c>
      <c r="S81" s="312">
        <v>19</v>
      </c>
    </row>
    <row r="82" spans="1:19" ht="15.75">
      <c r="A82" s="6" t="s">
        <v>100</v>
      </c>
      <c r="B82" s="326">
        <v>296090.08</v>
      </c>
      <c r="C82" s="326">
        <v>67487.16</v>
      </c>
      <c r="D82" s="326">
        <v>22882.0455</v>
      </c>
      <c r="E82" s="326">
        <v>0</v>
      </c>
      <c r="F82" s="326">
        <v>0</v>
      </c>
      <c r="G82" s="326">
        <v>0</v>
      </c>
      <c r="H82" s="326">
        <v>150586.60999999999</v>
      </c>
      <c r="I82" s="326">
        <v>30210.51</v>
      </c>
      <c r="J82" s="326">
        <v>3669.79</v>
      </c>
      <c r="K82" s="326">
        <v>0</v>
      </c>
      <c r="L82" s="781">
        <v>570926.19550000003</v>
      </c>
      <c r="M82" s="776">
        <v>2548.7776584821431</v>
      </c>
      <c r="N82" s="776"/>
      <c r="O82" s="778">
        <v>540715.68550000002</v>
      </c>
      <c r="P82" s="776">
        <v>2413.9093102678571</v>
      </c>
      <c r="R82" s="427">
        <v>224</v>
      </c>
      <c r="S82" s="312">
        <v>6</v>
      </c>
    </row>
    <row r="83" spans="1:19" ht="15.75">
      <c r="A83" s="6" t="s">
        <v>101</v>
      </c>
      <c r="B83" s="326">
        <v>1792362.93</v>
      </c>
      <c r="C83" s="326">
        <v>449518.83</v>
      </c>
      <c r="D83" s="326">
        <v>446262.40650000004</v>
      </c>
      <c r="E83" s="326">
        <v>82459.22</v>
      </c>
      <c r="F83" s="326">
        <v>36053.58</v>
      </c>
      <c r="G83" s="326">
        <v>17243.8</v>
      </c>
      <c r="H83" s="326">
        <v>221569.16</v>
      </c>
      <c r="I83" s="326">
        <v>287943.95</v>
      </c>
      <c r="J83" s="326">
        <v>34977.71</v>
      </c>
      <c r="K83" s="326">
        <v>0</v>
      </c>
      <c r="L83" s="781">
        <v>3368391.5865000002</v>
      </c>
      <c r="M83" s="776">
        <v>1577.7009772833724</v>
      </c>
      <c r="N83" s="776"/>
      <c r="O83" s="778">
        <v>3080447.6365</v>
      </c>
      <c r="P83" s="776">
        <v>1442.8326166276347</v>
      </c>
      <c r="R83" s="427">
        <v>2135</v>
      </c>
      <c r="S83" s="312">
        <v>298</v>
      </c>
    </row>
    <row r="84" spans="1:19" ht="15.75">
      <c r="A84" s="6" t="s">
        <v>102</v>
      </c>
      <c r="B84" s="326">
        <v>314717.59000000003</v>
      </c>
      <c r="C84" s="326">
        <v>246269.46</v>
      </c>
      <c r="D84" s="326">
        <v>33210.225600000005</v>
      </c>
      <c r="E84" s="326">
        <v>38058.1</v>
      </c>
      <c r="F84" s="326">
        <v>0</v>
      </c>
      <c r="G84" s="326">
        <v>0</v>
      </c>
      <c r="H84" s="326">
        <v>68920.39</v>
      </c>
      <c r="I84" s="326">
        <v>50710.5</v>
      </c>
      <c r="J84" s="326">
        <v>6160.01</v>
      </c>
      <c r="K84" s="326">
        <v>0</v>
      </c>
      <c r="L84" s="781">
        <v>758046.27560000005</v>
      </c>
      <c r="M84" s="776">
        <v>2016.080520212766</v>
      </c>
      <c r="N84" s="776"/>
      <c r="O84" s="778">
        <v>707335.77560000005</v>
      </c>
      <c r="P84" s="776">
        <v>1881.2121691489363</v>
      </c>
      <c r="R84" s="427">
        <v>376</v>
      </c>
      <c r="S84" s="312">
        <v>44</v>
      </c>
    </row>
    <row r="85" spans="1:19" ht="15.75">
      <c r="A85" s="6" t="s">
        <v>103</v>
      </c>
      <c r="B85" s="326">
        <v>1271807.68</v>
      </c>
      <c r="C85" s="326">
        <v>425690.52</v>
      </c>
      <c r="D85" s="326">
        <v>286438.19580000004</v>
      </c>
      <c r="E85" s="326">
        <v>152232.4</v>
      </c>
      <c r="F85" s="326">
        <v>113853.4</v>
      </c>
      <c r="G85" s="326">
        <v>32672.46</v>
      </c>
      <c r="H85" s="326">
        <v>316619.45</v>
      </c>
      <c r="I85" s="326">
        <v>244111.73</v>
      </c>
      <c r="J85" s="326">
        <v>29653.23</v>
      </c>
      <c r="K85" s="326">
        <v>0</v>
      </c>
      <c r="L85" s="781">
        <v>2873079.0658</v>
      </c>
      <c r="M85" s="776">
        <v>1587.3365004419888</v>
      </c>
      <c r="N85" s="776"/>
      <c r="O85" s="778">
        <v>2628967.3358</v>
      </c>
      <c r="P85" s="776">
        <v>1452.4681413259668</v>
      </c>
      <c r="R85" s="427">
        <v>1810</v>
      </c>
      <c r="S85" s="312">
        <v>224</v>
      </c>
    </row>
    <row r="86" spans="1:19" ht="15.75">
      <c r="A86" s="6" t="s">
        <v>104</v>
      </c>
      <c r="B86" s="326">
        <v>58493.25</v>
      </c>
      <c r="C86" s="326">
        <v>112478.6</v>
      </c>
      <c r="D86" s="326">
        <v>41187.681899999996</v>
      </c>
      <c r="E86" s="326">
        <v>0</v>
      </c>
      <c r="F86" s="326">
        <v>0</v>
      </c>
      <c r="G86" s="326">
        <v>0</v>
      </c>
      <c r="H86" s="326">
        <v>65301.69</v>
      </c>
      <c r="I86" s="326">
        <v>14161.18</v>
      </c>
      <c r="J86" s="326">
        <v>1720.22</v>
      </c>
      <c r="K86" s="326">
        <v>0</v>
      </c>
      <c r="L86" s="781">
        <v>293342.62189999997</v>
      </c>
      <c r="M86" s="776">
        <v>2793.7392561904758</v>
      </c>
      <c r="N86" s="776"/>
      <c r="O86" s="778">
        <v>279181.44189999998</v>
      </c>
      <c r="P86" s="776">
        <v>2658.8708752380949</v>
      </c>
      <c r="R86" s="427">
        <v>105</v>
      </c>
      <c r="S86" s="312">
        <v>10</v>
      </c>
    </row>
    <row r="87" spans="1:19" ht="15.75">
      <c r="A87" s="6" t="s">
        <v>105</v>
      </c>
      <c r="B87" s="326">
        <v>1136683.8899999999</v>
      </c>
      <c r="C87" s="326">
        <v>384860.38</v>
      </c>
      <c r="D87" s="326">
        <v>124538.34600000001</v>
      </c>
      <c r="E87" s="326">
        <v>91973.74</v>
      </c>
      <c r="F87" s="326">
        <v>11385.34</v>
      </c>
      <c r="G87" s="326">
        <v>15428.66</v>
      </c>
      <c r="H87" s="326">
        <v>156053.5</v>
      </c>
      <c r="I87" s="326">
        <v>137430.85999999999</v>
      </c>
      <c r="J87" s="326">
        <v>16694.28</v>
      </c>
      <c r="K87" s="326">
        <v>0</v>
      </c>
      <c r="L87" s="781">
        <v>2075048.996</v>
      </c>
      <c r="M87" s="776">
        <v>2036.3581903827283</v>
      </c>
      <c r="N87" s="776"/>
      <c r="O87" s="778">
        <v>1937618.1359999999</v>
      </c>
      <c r="P87" s="776">
        <v>1901.4898292443572</v>
      </c>
      <c r="R87" s="427">
        <v>1019</v>
      </c>
      <c r="S87" s="312">
        <v>117</v>
      </c>
    </row>
    <row r="88" spans="1:19" ht="15.75">
      <c r="A88" s="6" t="s">
        <v>106</v>
      </c>
      <c r="B88" s="326">
        <v>661780.59</v>
      </c>
      <c r="C88" s="326">
        <v>435269.21</v>
      </c>
      <c r="D88" s="326">
        <v>154097.4474</v>
      </c>
      <c r="E88" s="326">
        <v>22200.560000000001</v>
      </c>
      <c r="F88" s="326">
        <v>22770.68</v>
      </c>
      <c r="G88" s="326">
        <v>6352.98</v>
      </c>
      <c r="H88" s="326">
        <v>237384.77</v>
      </c>
      <c r="I88" s="326">
        <v>62444.05</v>
      </c>
      <c r="J88" s="326">
        <v>7585.33</v>
      </c>
      <c r="K88" s="326">
        <v>0</v>
      </c>
      <c r="L88" s="781">
        <v>1609885.6174000001</v>
      </c>
      <c r="M88" s="776">
        <v>3477.0747676025921</v>
      </c>
      <c r="N88" s="776"/>
      <c r="O88" s="778">
        <v>1547441.5674000001</v>
      </c>
      <c r="P88" s="776">
        <v>3342.2064090712743</v>
      </c>
      <c r="R88" s="427">
        <v>463</v>
      </c>
      <c r="S88" s="312">
        <v>47</v>
      </c>
    </row>
    <row r="89" spans="1:19" ht="15.75">
      <c r="A89" s="6" t="s">
        <v>107</v>
      </c>
      <c r="B89" s="326">
        <v>0</v>
      </c>
      <c r="C89" s="326">
        <v>748016.69</v>
      </c>
      <c r="D89" s="326">
        <v>1374073.0842000002</v>
      </c>
      <c r="E89" s="326">
        <v>212491.06</v>
      </c>
      <c r="F89" s="326">
        <v>557367.04999999993</v>
      </c>
      <c r="G89" s="326">
        <v>39025.440000000002</v>
      </c>
      <c r="H89" s="326">
        <v>1882316.57</v>
      </c>
      <c r="I89" s="326">
        <v>1583624.28</v>
      </c>
      <c r="J89" s="326">
        <v>192369.19</v>
      </c>
      <c r="K89" s="326"/>
      <c r="L89" s="781">
        <v>6589283.3642000007</v>
      </c>
      <c r="M89" s="776">
        <v>561.17214820303195</v>
      </c>
      <c r="N89" s="776"/>
      <c r="O89" s="778">
        <v>5005659.0842000004</v>
      </c>
      <c r="P89" s="776">
        <v>426.3037884687447</v>
      </c>
      <c r="R89" s="427">
        <v>11742</v>
      </c>
      <c r="S89" s="313">
        <v>1225</v>
      </c>
    </row>
    <row r="90" spans="1:19" ht="15.75">
      <c r="A90" s="6"/>
      <c r="B90" s="326"/>
      <c r="C90" s="326"/>
      <c r="D90" s="326"/>
      <c r="E90" s="326"/>
      <c r="F90" s="326"/>
      <c r="G90" s="326"/>
      <c r="H90" s="326"/>
      <c r="I90" s="326"/>
      <c r="J90" s="326"/>
      <c r="K90" s="326"/>
      <c r="L90" s="781"/>
      <c r="M90" s="776"/>
      <c r="N90" s="776"/>
      <c r="O90" s="778"/>
      <c r="P90" s="776"/>
      <c r="R90" s="360"/>
      <c r="S90" s="98"/>
    </row>
    <row r="91" spans="1:19" ht="15.75">
      <c r="A91" s="84"/>
      <c r="B91" s="326"/>
      <c r="C91" s="326"/>
      <c r="D91" s="326"/>
      <c r="E91" s="326"/>
      <c r="F91" s="326"/>
      <c r="G91" s="326"/>
      <c r="H91" s="326"/>
      <c r="I91" s="326"/>
      <c r="J91" s="326"/>
      <c r="K91" s="326"/>
      <c r="L91" s="781"/>
      <c r="M91" s="776"/>
      <c r="N91" s="776"/>
      <c r="O91" s="778"/>
      <c r="P91" s="776"/>
      <c r="R91" s="360"/>
      <c r="S91" s="357"/>
    </row>
    <row r="92" spans="1:19" ht="15.75">
      <c r="A92" s="84"/>
      <c r="B92" s="391"/>
      <c r="C92" s="391"/>
      <c r="D92" s="391"/>
      <c r="E92" s="391"/>
      <c r="F92" s="391"/>
      <c r="G92" s="391"/>
      <c r="H92" s="391"/>
      <c r="I92" s="392"/>
      <c r="J92" s="391"/>
      <c r="K92" s="391"/>
      <c r="L92" s="393"/>
      <c r="M92" s="297"/>
      <c r="N92" s="782"/>
      <c r="O92" s="297"/>
      <c r="P92" s="392"/>
      <c r="R92" s="360"/>
      <c r="S92" s="358"/>
    </row>
    <row r="93" spans="1:19" ht="15.75">
      <c r="A93" s="9" t="s">
        <v>108</v>
      </c>
      <c r="B93" s="327">
        <v>15730465.460000001</v>
      </c>
      <c r="C93" s="327">
        <v>5976316.8299999982</v>
      </c>
      <c r="D93" s="327">
        <v>4734932.9103000006</v>
      </c>
      <c r="E93" s="327">
        <v>1195658.6400000001</v>
      </c>
      <c r="F93" s="327">
        <v>1246437.96</v>
      </c>
      <c r="G93" s="327">
        <v>235060.2</v>
      </c>
      <c r="H93" s="327">
        <v>5093424.1400000006</v>
      </c>
      <c r="I93" s="327">
        <v>4092445.5</v>
      </c>
      <c r="J93" s="327">
        <v>497125.78</v>
      </c>
      <c r="K93" s="327">
        <v>0</v>
      </c>
      <c r="L93" s="394">
        <v>38801867.420300007</v>
      </c>
      <c r="M93" s="776">
        <v>1278.7327781538363</v>
      </c>
      <c r="N93" s="14"/>
      <c r="O93" s="14">
        <v>34709421.920299999</v>
      </c>
      <c r="P93" s="776"/>
      <c r="R93" s="360">
        <v>30344</v>
      </c>
      <c r="S93" s="98">
        <v>3522</v>
      </c>
    </row>
    <row r="94" spans="1:19" ht="15.75">
      <c r="B94" s="2"/>
      <c r="C94" s="2"/>
      <c r="D94" s="2">
        <v>4734932.9103000006</v>
      </c>
      <c r="E94" s="395"/>
      <c r="F94" s="395"/>
      <c r="G94" s="395"/>
      <c r="H94" s="2"/>
      <c r="I94" s="2"/>
      <c r="J94" s="2"/>
      <c r="K94" s="2"/>
      <c r="L94" s="394">
        <v>38801867.420300007</v>
      </c>
      <c r="M94" s="2"/>
      <c r="N94" s="2"/>
      <c r="O94" s="2"/>
      <c r="P94" s="2"/>
      <c r="R94" s="14"/>
    </row>
    <row r="95" spans="1:19">
      <c r="C95" s="356"/>
      <c r="O95" s="493">
        <v>4092445.5000000075</v>
      </c>
    </row>
    <row r="96" spans="1:19">
      <c r="C96" s="356"/>
      <c r="D96" s="356"/>
      <c r="H96" s="356"/>
    </row>
    <row r="97" spans="1:18" ht="23.25">
      <c r="A97" s="649" t="s">
        <v>133</v>
      </c>
      <c r="B97" s="650">
        <v>340602.65000000037</v>
      </c>
      <c r="C97" s="650">
        <v>389624.29999999795</v>
      </c>
      <c r="D97" s="650">
        <v>154874.00982000027</v>
      </c>
      <c r="E97" s="650">
        <v>218599.7200000002</v>
      </c>
      <c r="F97" s="650">
        <v>411443.12000000011</v>
      </c>
      <c r="G97" s="650">
        <v>44878.799999999988</v>
      </c>
      <c r="H97" s="650">
        <v>14110.009999999776</v>
      </c>
      <c r="I97" s="650">
        <v>772740.71</v>
      </c>
      <c r="J97" s="650">
        <v>20876.670000000042</v>
      </c>
      <c r="K97" s="2"/>
      <c r="L97" s="496">
        <v>2367749.9898200035</v>
      </c>
      <c r="M97" s="776"/>
      <c r="N97" s="2">
        <v>0</v>
      </c>
      <c r="O97" s="2">
        <v>1486996.7698200047</v>
      </c>
    </row>
    <row r="98" spans="1:18">
      <c r="A98" s="651" t="s">
        <v>134</v>
      </c>
      <c r="C98" s="492"/>
      <c r="D98" s="492"/>
      <c r="E98" s="492"/>
      <c r="F98" s="495"/>
      <c r="K98" s="495"/>
      <c r="O98" t="s">
        <v>135</v>
      </c>
      <c r="R98" t="s">
        <v>136</v>
      </c>
    </row>
    <row r="107" spans="1:18">
      <c r="B107" s="2"/>
      <c r="C107" s="2"/>
      <c r="D107" s="2"/>
      <c r="E107" s="2"/>
      <c r="F107" s="2"/>
      <c r="G107" s="2"/>
      <c r="H107" s="2"/>
      <c r="I107" s="2"/>
      <c r="J107" s="2"/>
      <c r="K107" s="2">
        <f t="shared" ref="K107" si="11">K13-K80</f>
        <v>0</v>
      </c>
    </row>
    <row r="112" spans="1:18" ht="15.75">
      <c r="C112" s="661"/>
      <c r="D112" s="661"/>
      <c r="E112" s="661"/>
      <c r="F112" s="661"/>
      <c r="G112" s="661"/>
      <c r="H112" s="661"/>
      <c r="I112" s="661"/>
      <c r="J112" s="661"/>
      <c r="K112" s="661"/>
    </row>
    <row r="113" spans="3:11" ht="15.75">
      <c r="C113" s="326"/>
      <c r="D113" s="326"/>
      <c r="E113" s="326"/>
      <c r="F113" s="326"/>
      <c r="G113" s="326"/>
      <c r="H113" s="326"/>
      <c r="I113" s="326"/>
      <c r="J113" s="326"/>
      <c r="K113" s="326"/>
    </row>
    <row r="114" spans="3:11" ht="15.75">
      <c r="C114" s="326"/>
      <c r="D114" s="326"/>
      <c r="E114" s="326"/>
      <c r="F114" s="326"/>
      <c r="G114" s="326"/>
      <c r="H114" s="326"/>
      <c r="I114" s="326"/>
      <c r="J114" s="326"/>
      <c r="K114" s="326"/>
    </row>
    <row r="115" spans="3:11" ht="15.75">
      <c r="C115" s="326"/>
      <c r="D115" s="326"/>
      <c r="E115" s="326"/>
      <c r="F115" s="326"/>
      <c r="G115" s="326"/>
      <c r="H115" s="326"/>
      <c r="I115" s="326"/>
      <c r="J115" s="326"/>
      <c r="K115" s="326"/>
    </row>
    <row r="116" spans="3:11" ht="15.75">
      <c r="C116" s="326"/>
      <c r="D116" s="326"/>
      <c r="E116" s="326"/>
      <c r="F116" s="326"/>
      <c r="G116" s="326"/>
      <c r="H116" s="326"/>
      <c r="I116" s="326"/>
      <c r="J116" s="326"/>
      <c r="K116" s="326"/>
    </row>
    <row r="117" spans="3:11" ht="15.75">
      <c r="C117" s="326"/>
      <c r="D117" s="326"/>
      <c r="E117" s="326"/>
      <c r="F117" s="326"/>
      <c r="G117" s="326"/>
      <c r="H117" s="326"/>
      <c r="I117" s="326"/>
      <c r="J117" s="326"/>
      <c r="K117" s="326"/>
    </row>
    <row r="118" spans="3:11" ht="15.75">
      <c r="C118" s="326"/>
      <c r="D118" s="326"/>
      <c r="E118" s="326"/>
      <c r="F118" s="326"/>
      <c r="G118" s="326"/>
      <c r="H118" s="326"/>
      <c r="I118" s="326"/>
      <c r="J118" s="326"/>
      <c r="K118" s="326"/>
    </row>
    <row r="119" spans="3:11" ht="15.75">
      <c r="C119" s="326"/>
      <c r="D119" s="326"/>
      <c r="E119" s="326"/>
      <c r="F119" s="326"/>
      <c r="G119" s="326"/>
      <c r="H119" s="326"/>
      <c r="I119" s="326"/>
      <c r="J119" s="326"/>
      <c r="K119" s="326"/>
    </row>
    <row r="120" spans="3:11" ht="15.75">
      <c r="C120" s="326"/>
      <c r="D120" s="326"/>
      <c r="E120" s="326"/>
      <c r="F120" s="326"/>
      <c r="G120" s="326"/>
      <c r="H120" s="326"/>
      <c r="I120" s="326"/>
      <c r="J120" s="326"/>
      <c r="K120" s="326"/>
    </row>
    <row r="121" spans="3:11" ht="15.75">
      <c r="C121" s="326"/>
      <c r="D121" s="326"/>
      <c r="E121" s="326"/>
      <c r="F121" s="326"/>
      <c r="G121" s="326"/>
      <c r="H121" s="326"/>
      <c r="I121" s="326"/>
      <c r="J121" s="326"/>
      <c r="K121" s="326"/>
    </row>
    <row r="122" spans="3:11" ht="15.75">
      <c r="C122" s="326"/>
      <c r="D122" s="326"/>
      <c r="E122" s="326"/>
      <c r="F122" s="326"/>
      <c r="G122" s="326"/>
      <c r="H122" s="326"/>
      <c r="I122" s="326"/>
      <c r="J122" s="326"/>
      <c r="K122" s="326"/>
    </row>
    <row r="123" spans="3:11" ht="15.75">
      <c r="C123" s="326"/>
      <c r="D123" s="326"/>
      <c r="E123" s="326"/>
      <c r="F123" s="326"/>
      <c r="G123" s="326"/>
      <c r="H123" s="326"/>
      <c r="I123" s="326"/>
      <c r="J123" s="326"/>
      <c r="K123" s="326"/>
    </row>
    <row r="124" spans="3:11" ht="15.75">
      <c r="C124" s="326"/>
      <c r="D124" s="326"/>
      <c r="E124" s="326"/>
      <c r="F124" s="326"/>
      <c r="G124" s="326"/>
      <c r="H124" s="326"/>
      <c r="I124" s="326"/>
      <c r="J124" s="326"/>
      <c r="K124" s="326"/>
    </row>
    <row r="125" spans="3:11" ht="15.75">
      <c r="C125" s="326"/>
      <c r="D125" s="326"/>
      <c r="E125" s="326"/>
      <c r="F125" s="326"/>
      <c r="G125" s="326"/>
      <c r="H125" s="326"/>
      <c r="I125" s="326"/>
      <c r="J125" s="326"/>
      <c r="K125" s="326"/>
    </row>
    <row r="126" spans="3:11" ht="15.75">
      <c r="C126" s="326"/>
      <c r="D126" s="326"/>
      <c r="E126" s="326"/>
      <c r="F126" s="326"/>
      <c r="G126" s="326"/>
      <c r="H126" s="326"/>
      <c r="I126" s="326"/>
      <c r="J126" s="326"/>
      <c r="K126" s="326"/>
    </row>
    <row r="127" spans="3:11" ht="15.75">
      <c r="C127" s="326"/>
      <c r="D127" s="326"/>
      <c r="E127" s="326"/>
      <c r="F127" s="326"/>
      <c r="G127" s="326"/>
      <c r="H127" s="326"/>
      <c r="I127" s="326"/>
      <c r="J127" s="326"/>
      <c r="K127" s="326"/>
    </row>
    <row r="128" spans="3:11" ht="15.75">
      <c r="C128" s="326"/>
      <c r="D128" s="326"/>
      <c r="E128" s="326"/>
      <c r="F128" s="326"/>
      <c r="G128" s="326"/>
      <c r="H128" s="326"/>
      <c r="I128" s="326"/>
      <c r="J128" s="326"/>
      <c r="K128" s="326"/>
    </row>
    <row r="129" spans="3:12" ht="15.75">
      <c r="C129" s="326"/>
      <c r="D129" s="326"/>
      <c r="E129" s="326"/>
      <c r="F129" s="326"/>
      <c r="G129" s="326"/>
      <c r="H129" s="326"/>
      <c r="I129" s="326"/>
      <c r="J129" s="326"/>
      <c r="K129" s="326"/>
    </row>
    <row r="130" spans="3:12" ht="15.75">
      <c r="C130" s="326"/>
      <c r="D130" s="326"/>
      <c r="E130" s="326"/>
      <c r="F130" s="326"/>
      <c r="G130" s="326"/>
      <c r="H130" s="326"/>
      <c r="I130" s="326"/>
      <c r="J130" s="326"/>
      <c r="K130" s="326"/>
    </row>
    <row r="131" spans="3:12" ht="15.75">
      <c r="C131" s="391"/>
      <c r="D131" s="391"/>
      <c r="E131" s="391"/>
      <c r="F131" s="391"/>
      <c r="G131" s="391"/>
      <c r="H131" s="391"/>
      <c r="I131" s="391"/>
      <c r="J131" s="392"/>
      <c r="K131" s="391"/>
    </row>
    <row r="132" spans="3:12" ht="15.75">
      <c r="C132" s="327"/>
      <c r="D132" s="327"/>
      <c r="E132" s="327"/>
      <c r="F132" s="327"/>
      <c r="G132" s="327"/>
      <c r="H132" s="327"/>
      <c r="I132" s="327"/>
      <c r="J132" s="327"/>
      <c r="K132" s="327"/>
    </row>
    <row r="135" spans="3:12">
      <c r="D135" s="2"/>
      <c r="E135" s="2"/>
      <c r="F135" s="2"/>
      <c r="G135" s="2"/>
      <c r="H135" s="2"/>
      <c r="I135" s="2"/>
      <c r="J135" s="2"/>
      <c r="K135" s="2"/>
    </row>
    <row r="136" spans="3:12">
      <c r="L136" s="2"/>
    </row>
  </sheetData>
  <mergeCells count="1">
    <mergeCell ref="F71:F72"/>
  </mergeCells>
  <conditionalFormatting sqref="B30:J30">
    <cfRule type="cellIs" dxfId="1" priority="5" operator="greaterThan">
      <formula>0</formula>
    </cfRule>
    <cfRule type="colorScale" priority="6">
      <colorScale>
        <cfvo type="min"/>
        <cfvo type="percentile" val="50"/>
        <cfvo type="max"/>
        <color rgb="FFF8696B"/>
        <color rgb="FFFCFCFF"/>
        <color rgb="FF63BE7B"/>
      </colorScale>
    </cfRule>
  </conditionalFormatting>
  <conditionalFormatting sqref="B30:J31">
    <cfRule type="colorScale" priority="10">
      <colorScale>
        <cfvo type="min"/>
        <cfvo type="percentile" val="50"/>
        <cfvo type="max"/>
        <color rgb="FFF8696B"/>
        <color rgb="FFFCFCFF"/>
        <color rgb="FF63BE7B"/>
      </colorScale>
    </cfRule>
  </conditionalFormatting>
  <conditionalFormatting sqref="B32:J32">
    <cfRule type="dataBar" priority="1">
      <dataBar>
        <cfvo type="min"/>
        <cfvo type="max"/>
        <color rgb="FF638EC6"/>
      </dataBar>
      <extLst>
        <ext xmlns:x14="http://schemas.microsoft.com/office/spreadsheetml/2009/9/main" uri="{B025F937-C7B1-47D3-B67F-A62EFF666E3E}">
          <x14:id>{56706D2F-BC8E-495B-B808-4FAE4B302498}</x14:id>
        </ext>
      </extLst>
    </cfRule>
    <cfRule type="cellIs" dxfId="0" priority="2" operator="greaterThan">
      <formula>0</formula>
    </cfRule>
  </conditionalFormatting>
  <conditionalFormatting sqref="Y7:Y26">
    <cfRule type="dataBar" priority="8">
      <dataBar>
        <cfvo type="min"/>
        <cfvo type="max"/>
        <color rgb="FF638EC6"/>
      </dataBar>
      <extLst>
        <ext xmlns:x14="http://schemas.microsoft.com/office/spreadsheetml/2009/9/main" uri="{B025F937-C7B1-47D3-B67F-A62EFF666E3E}">
          <x14:id>{A38E01C7-2E90-42D0-B53F-73127672E80A}</x14:id>
        </ext>
      </extLst>
    </cfRule>
  </conditionalFormatting>
  <pageMargins left="0.7" right="0.7" top="0.75" bottom="0.75" header="0.3" footer="0.3"/>
  <pageSetup paperSize="256" orientation="landscape" r:id="rId1"/>
  <extLst>
    <ext xmlns:x14="http://schemas.microsoft.com/office/spreadsheetml/2009/9/main" uri="{78C0D931-6437-407d-A8EE-F0AAD7539E65}">
      <x14:conditionalFormattings>
        <x14:conditionalFormatting xmlns:xm="http://schemas.microsoft.com/office/excel/2006/main">
          <x14:cfRule type="dataBar" id="{56706D2F-BC8E-495B-B808-4FAE4B302498}">
            <x14:dataBar minLength="0" maxLength="100" gradient="0">
              <x14:cfvo type="autoMin"/>
              <x14:cfvo type="autoMax"/>
              <x14:negativeFillColor rgb="FFFF0000"/>
              <x14:axisColor rgb="FF000000"/>
            </x14:dataBar>
          </x14:cfRule>
          <xm:sqref>B32:J32</xm:sqref>
        </x14:conditionalFormatting>
        <x14:conditionalFormatting xmlns:xm="http://schemas.microsoft.com/office/excel/2006/main">
          <x14:cfRule type="dataBar" id="{A38E01C7-2E90-42D0-B53F-73127672E80A}">
            <x14:dataBar minLength="0" maxLength="100" gradient="0">
              <x14:cfvo type="autoMin"/>
              <x14:cfvo type="autoMax"/>
              <x14:negativeFillColor rgb="FFFF0000"/>
              <x14:axisColor rgb="FF000000"/>
            </x14:dataBar>
          </x14:cfRule>
          <xm:sqref>Y7:Y26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3E3E5"/>
  </sheetPr>
  <dimension ref="B2:M187"/>
  <sheetViews>
    <sheetView topLeftCell="A30" workbookViewId="0">
      <selection activeCell="B38" sqref="B38"/>
    </sheetView>
  </sheetViews>
  <sheetFormatPr defaultRowHeight="15"/>
  <cols>
    <col min="3" max="3" width="12" customWidth="1"/>
    <col min="4" max="4" width="10.88671875" customWidth="1"/>
    <col min="5" max="5" width="14.5546875" customWidth="1"/>
    <col min="6" max="6" width="12.5546875" customWidth="1"/>
    <col min="7" max="7" width="13.33203125" customWidth="1"/>
    <col min="8" max="8" width="13" customWidth="1"/>
    <col min="9" max="9" width="12.6640625" customWidth="1"/>
  </cols>
  <sheetData>
    <row r="2" spans="2:12">
      <c r="B2" s="390" t="s">
        <v>137</v>
      </c>
      <c r="D2" s="663" t="s">
        <v>138</v>
      </c>
      <c r="E2" s="421"/>
      <c r="F2" s="421"/>
      <c r="G2" s="390"/>
    </row>
    <row r="3" spans="2:12">
      <c r="D3" s="390" t="s">
        <v>139</v>
      </c>
      <c r="G3" s="390"/>
    </row>
    <row r="4" spans="2:12">
      <c r="D4" s="390"/>
      <c r="G4" s="390"/>
    </row>
    <row r="5" spans="2:12" ht="15.75">
      <c r="B5" s="79"/>
      <c r="D5" s="380"/>
      <c r="G5" s="4"/>
      <c r="H5" s="4"/>
      <c r="I5" s="4"/>
      <c r="J5" s="4"/>
      <c r="K5" s="4"/>
      <c r="L5" s="4"/>
    </row>
    <row r="6" spans="2:12" ht="60">
      <c r="B6" s="381"/>
      <c r="C6" s="382"/>
      <c r="D6" s="382" t="s">
        <v>140</v>
      </c>
      <c r="E6" s="382" t="s">
        <v>141</v>
      </c>
      <c r="F6" s="382"/>
      <c r="G6" s="382" t="s">
        <v>142</v>
      </c>
      <c r="H6" s="382"/>
      <c r="I6" s="382"/>
      <c r="J6" s="382"/>
      <c r="K6" s="383" t="s">
        <v>143</v>
      </c>
      <c r="L6" s="494" t="s">
        <v>143</v>
      </c>
    </row>
    <row r="7" spans="2:12" ht="15.75">
      <c r="B7" s="384" t="s">
        <v>92</v>
      </c>
      <c r="C7" s="775"/>
      <c r="D7" s="776">
        <v>72478.080000000002</v>
      </c>
      <c r="E7" s="776">
        <v>11394.4</v>
      </c>
      <c r="F7" s="776"/>
      <c r="G7" s="776">
        <f>H7*$I$127</f>
        <v>98661.938959004096</v>
      </c>
      <c r="H7" s="660">
        <v>2.4786479941585875E-2</v>
      </c>
      <c r="I7" s="776"/>
      <c r="J7" s="775"/>
      <c r="K7" s="396">
        <f>SUM(D7:E7)</f>
        <v>83872.479999999996</v>
      </c>
      <c r="L7" s="396">
        <f>SUM(D7:G7)</f>
        <v>182534.41895900411</v>
      </c>
    </row>
    <row r="8" spans="2:12" ht="15.75">
      <c r="B8" s="384" t="s">
        <v>93</v>
      </c>
      <c r="C8" s="775"/>
      <c r="D8" s="776">
        <v>158244.82999999999</v>
      </c>
      <c r="E8" s="776">
        <v>76317.919999999998</v>
      </c>
      <c r="F8" s="776"/>
      <c r="G8" s="776">
        <f t="shared" ref="G8:G22" si="0">H8*$I$127</f>
        <v>27748.963703370842</v>
      </c>
      <c r="H8" s="660">
        <v>6.9712711861378424E-3</v>
      </c>
      <c r="I8" s="776"/>
      <c r="J8" s="775"/>
      <c r="K8" s="396">
        <f t="shared" ref="K8:K22" si="1">SUM(D8:E8)</f>
        <v>234562.75</v>
      </c>
      <c r="L8" s="396">
        <f t="shared" ref="L8:L25" si="2">SUM(D8:G8)</f>
        <v>262311.71370337083</v>
      </c>
    </row>
    <row r="9" spans="2:12" ht="15.75">
      <c r="B9" s="384" t="s">
        <v>94</v>
      </c>
      <c r="C9" s="775"/>
      <c r="D9" s="776">
        <v>390569.42</v>
      </c>
      <c r="E9" s="776">
        <v>153819.49</v>
      </c>
      <c r="F9" s="776"/>
      <c r="G9" s="776">
        <f t="shared" si="0"/>
        <v>207062.22362967423</v>
      </c>
      <c r="H9" s="660">
        <v>5.2019489043182855E-2</v>
      </c>
      <c r="I9" s="776"/>
      <c r="J9" s="775"/>
      <c r="K9" s="396">
        <f t="shared" si="1"/>
        <v>544388.90999999992</v>
      </c>
      <c r="L9" s="396">
        <f t="shared" si="2"/>
        <v>751451.13362967409</v>
      </c>
    </row>
    <row r="10" spans="2:12" ht="15.75">
      <c r="B10" s="384" t="s">
        <v>95</v>
      </c>
      <c r="C10" s="775"/>
      <c r="D10" s="776">
        <v>78871.59</v>
      </c>
      <c r="E10" s="776">
        <v>20490</v>
      </c>
      <c r="F10" s="776"/>
      <c r="G10" s="776">
        <f t="shared" si="0"/>
        <v>63936.561872777747</v>
      </c>
      <c r="H10" s="660">
        <v>1.6062549805067876E-2</v>
      </c>
      <c r="I10" s="776"/>
      <c r="J10" s="775"/>
      <c r="K10" s="396">
        <f t="shared" si="1"/>
        <v>99361.59</v>
      </c>
      <c r="L10" s="396">
        <f t="shared" si="2"/>
        <v>163298.15187277773</v>
      </c>
    </row>
    <row r="11" spans="2:12" ht="15.75">
      <c r="B11" s="384" t="s">
        <v>96</v>
      </c>
      <c r="C11" s="775"/>
      <c r="D11" s="776">
        <v>96200.57</v>
      </c>
      <c r="E11" s="776">
        <v>49437.599999999999</v>
      </c>
      <c r="F11" s="776"/>
      <c r="G11" s="776">
        <f t="shared" si="0"/>
        <v>3371.9783754465329</v>
      </c>
      <c r="H11" s="660">
        <v>8.4712985826475263E-4</v>
      </c>
      <c r="I11" s="776"/>
      <c r="J11" s="775"/>
      <c r="K11" s="396">
        <f t="shared" si="1"/>
        <v>145638.17000000001</v>
      </c>
      <c r="L11" s="396">
        <f t="shared" si="2"/>
        <v>149010.14837544656</v>
      </c>
    </row>
    <row r="12" spans="2:12" ht="15.75">
      <c r="B12" s="384" t="s">
        <v>97</v>
      </c>
      <c r="C12" s="775"/>
      <c r="D12" s="776">
        <v>242127.07</v>
      </c>
      <c r="E12" s="776">
        <v>102972.45</v>
      </c>
      <c r="F12" s="776"/>
      <c r="G12" s="776">
        <f t="shared" si="0"/>
        <v>114412.08185585742</v>
      </c>
      <c r="H12" s="660">
        <v>2.8743331034408823E-2</v>
      </c>
      <c r="I12" s="776"/>
      <c r="J12" s="775"/>
      <c r="K12" s="396">
        <f t="shared" si="1"/>
        <v>345099.52000000002</v>
      </c>
      <c r="L12" s="396">
        <f t="shared" si="2"/>
        <v>459511.60185585741</v>
      </c>
    </row>
    <row r="13" spans="2:12" ht="15.75">
      <c r="B13" s="384" t="s">
        <v>98</v>
      </c>
      <c r="C13" s="775"/>
      <c r="D13" s="776">
        <v>517090.67</v>
      </c>
      <c r="E13" s="776">
        <v>84260.99</v>
      </c>
      <c r="F13" s="776"/>
      <c r="G13" s="776">
        <f t="shared" si="0"/>
        <v>562830.85804369859</v>
      </c>
      <c r="H13" s="660">
        <v>0.14139794859700092</v>
      </c>
      <c r="I13" s="776"/>
      <c r="J13" s="775"/>
      <c r="K13" s="396">
        <f t="shared" si="1"/>
        <v>601351.66</v>
      </c>
      <c r="L13" s="396">
        <f t="shared" si="2"/>
        <v>1164182.5180436987</v>
      </c>
    </row>
    <row r="14" spans="2:12" ht="15.75">
      <c r="B14" s="384" t="s">
        <v>99</v>
      </c>
      <c r="C14" s="775"/>
      <c r="D14" s="776">
        <v>53313.91</v>
      </c>
      <c r="E14" s="776">
        <v>1860.46</v>
      </c>
      <c r="F14" s="776"/>
      <c r="G14" s="776">
        <f t="shared" si="0"/>
        <v>4263.8859412011352</v>
      </c>
      <c r="H14" s="660">
        <v>1.07120055078896E-3</v>
      </c>
      <c r="I14" s="776"/>
      <c r="J14" s="775"/>
      <c r="K14" s="396">
        <f t="shared" si="1"/>
        <v>55174.37</v>
      </c>
      <c r="L14" s="396">
        <f t="shared" si="2"/>
        <v>59438.25594120114</v>
      </c>
    </row>
    <row r="15" spans="2:12" ht="15.75">
      <c r="B15" s="384" t="s">
        <v>100</v>
      </c>
      <c r="C15" s="775"/>
      <c r="D15" s="776">
        <v>48856.25</v>
      </c>
      <c r="E15" s="776">
        <v>1559.07</v>
      </c>
      <c r="F15" s="776"/>
      <c r="G15" s="776">
        <f t="shared" si="0"/>
        <v>6582.4307438688393</v>
      </c>
      <c r="H15" s="660">
        <v>1.6536801254998373E-3</v>
      </c>
      <c r="I15" s="776"/>
      <c r="J15" s="775"/>
      <c r="K15" s="396">
        <f t="shared" si="1"/>
        <v>50415.32</v>
      </c>
      <c r="L15" s="396">
        <f t="shared" si="2"/>
        <v>56997.750743868841</v>
      </c>
    </row>
    <row r="16" spans="2:12" ht="15.75">
      <c r="B16" s="384" t="s">
        <v>101</v>
      </c>
      <c r="C16" s="775"/>
      <c r="D16" s="776">
        <v>246518.78</v>
      </c>
      <c r="E16" s="776">
        <v>110720.05</v>
      </c>
      <c r="F16" s="776"/>
      <c r="G16" s="776">
        <f t="shared" si="0"/>
        <v>49500.022382722091</v>
      </c>
      <c r="H16" s="660">
        <v>1.2435710516567146E-2</v>
      </c>
      <c r="I16" s="776"/>
      <c r="J16" s="775"/>
      <c r="K16" s="396">
        <f t="shared" si="1"/>
        <v>357238.83</v>
      </c>
      <c r="L16" s="396">
        <f t="shared" si="2"/>
        <v>406738.85238272208</v>
      </c>
    </row>
    <row r="17" spans="2:12" ht="15.75">
      <c r="B17" s="384" t="s">
        <v>102</v>
      </c>
      <c r="C17" s="775"/>
      <c r="D17" s="776">
        <v>59393.73</v>
      </c>
      <c r="E17" s="776">
        <v>36401.35</v>
      </c>
      <c r="F17" s="776"/>
      <c r="G17" s="776">
        <f t="shared" si="0"/>
        <v>19078.773462239868</v>
      </c>
      <c r="H17" s="660">
        <v>4.7930908384880462E-3</v>
      </c>
      <c r="I17" s="776"/>
      <c r="J17" s="775"/>
      <c r="K17" s="396">
        <f t="shared" si="1"/>
        <v>95795.08</v>
      </c>
      <c r="L17" s="396">
        <f t="shared" si="2"/>
        <v>114873.85346223987</v>
      </c>
    </row>
    <row r="18" spans="2:12" ht="15.75">
      <c r="B18" s="665" t="s">
        <v>103</v>
      </c>
      <c r="C18" s="775"/>
      <c r="D18" s="783">
        <v>245586.73</v>
      </c>
      <c r="E18" s="783">
        <v>123768.5</v>
      </c>
      <c r="F18" s="776"/>
      <c r="G18" s="776">
        <f t="shared" si="0"/>
        <v>502390.86542182288</v>
      </c>
      <c r="H18" s="660">
        <v>0.12621382916251253</v>
      </c>
      <c r="I18" s="776"/>
      <c r="J18" s="775"/>
      <c r="K18" s="396">
        <f t="shared" si="1"/>
        <v>369355.23</v>
      </c>
      <c r="L18" s="396">
        <f t="shared" si="2"/>
        <v>871746.09542182286</v>
      </c>
    </row>
    <row r="19" spans="2:12" ht="15.75">
      <c r="B19" s="384" t="s">
        <v>104</v>
      </c>
      <c r="C19" s="775"/>
      <c r="D19" s="776">
        <v>20340.07</v>
      </c>
      <c r="E19" s="776">
        <v>572.11</v>
      </c>
      <c r="F19" s="776"/>
      <c r="G19" s="776">
        <f t="shared" si="0"/>
        <v>5814.2369034618469</v>
      </c>
      <c r="H19" s="660">
        <v>1.4606895820602891E-3</v>
      </c>
      <c r="I19" s="776"/>
      <c r="J19" s="775"/>
      <c r="K19" s="396">
        <f t="shared" si="1"/>
        <v>20912.18</v>
      </c>
      <c r="L19" s="396">
        <f t="shared" si="2"/>
        <v>26726.416903461846</v>
      </c>
    </row>
    <row r="20" spans="2:12" ht="15.75">
      <c r="B20" s="384" t="s">
        <v>105</v>
      </c>
      <c r="C20" s="775"/>
      <c r="D20" s="776">
        <v>149730.04</v>
      </c>
      <c r="E20" s="776">
        <v>85179.75</v>
      </c>
      <c r="F20" s="776"/>
      <c r="G20" s="776">
        <f t="shared" si="0"/>
        <v>19237.193883747081</v>
      </c>
      <c r="H20" s="660">
        <v>4.832890224567999E-3</v>
      </c>
      <c r="I20" s="776"/>
      <c r="J20" s="775"/>
      <c r="K20" s="396">
        <f t="shared" si="1"/>
        <v>234909.79</v>
      </c>
      <c r="L20" s="396">
        <f t="shared" si="2"/>
        <v>254146.98388374707</v>
      </c>
    </row>
    <row r="21" spans="2:12" ht="15.75">
      <c r="B21" s="384" t="s">
        <v>106</v>
      </c>
      <c r="C21" s="775"/>
      <c r="D21" s="776">
        <v>80366.880000000005</v>
      </c>
      <c r="E21" s="776">
        <v>37748.68</v>
      </c>
      <c r="F21" s="776"/>
      <c r="G21" s="776">
        <f t="shared" si="0"/>
        <v>14298.257960889696</v>
      </c>
      <c r="H21" s="660">
        <v>3.5920993230679804E-3</v>
      </c>
      <c r="I21" s="776"/>
      <c r="J21" s="775"/>
      <c r="K21" s="396">
        <f t="shared" si="1"/>
        <v>118115.56</v>
      </c>
      <c r="L21" s="396">
        <f t="shared" si="2"/>
        <v>132413.81796088969</v>
      </c>
    </row>
    <row r="22" spans="2:12" ht="15.75">
      <c r="B22" s="665" t="s">
        <v>107</v>
      </c>
      <c r="C22" s="775"/>
      <c r="D22" s="783">
        <v>1540311.39</v>
      </c>
      <c r="E22" s="783">
        <v>103497.19</v>
      </c>
      <c r="F22" s="776"/>
      <c r="G22" s="776">
        <f t="shared" si="0"/>
        <v>2281283.7268602168</v>
      </c>
      <c r="H22" s="660">
        <v>0.57311861021079824</v>
      </c>
      <c r="I22" s="776"/>
      <c r="J22" s="775"/>
      <c r="K22" s="396">
        <f t="shared" si="1"/>
        <v>1643808.5799999998</v>
      </c>
      <c r="L22" s="396">
        <f t="shared" si="2"/>
        <v>3925092.3068602169</v>
      </c>
    </row>
    <row r="23" spans="2:12" ht="15.75">
      <c r="B23" s="435"/>
      <c r="C23" s="386"/>
      <c r="D23" s="434"/>
      <c r="F23" s="434"/>
      <c r="G23" s="434"/>
      <c r="H23" s="434"/>
      <c r="I23" s="434"/>
      <c r="J23" s="386"/>
      <c r="K23" s="396"/>
      <c r="L23" s="396"/>
    </row>
    <row r="24" spans="2:12" ht="15.75">
      <c r="B24" s="385"/>
      <c r="C24" s="386"/>
      <c r="D24" s="434"/>
      <c r="F24" s="434"/>
      <c r="G24" s="434"/>
      <c r="H24" s="434"/>
      <c r="I24" s="434"/>
      <c r="J24" s="386"/>
      <c r="K24" s="396"/>
      <c r="L24" s="396"/>
    </row>
    <row r="25" spans="2:12" ht="15.75">
      <c r="B25" s="387" t="s">
        <v>108</v>
      </c>
      <c r="C25" s="388"/>
      <c r="D25" s="388">
        <f>SUM(D7:D22)</f>
        <v>4000000.01</v>
      </c>
      <c r="E25" s="388">
        <f>SUM(E7:E22)</f>
        <v>1000000.01</v>
      </c>
      <c r="F25" s="388"/>
      <c r="G25" s="388">
        <f>SUM(G7:G22)</f>
        <v>3980474</v>
      </c>
      <c r="H25" s="388"/>
      <c r="I25" s="388"/>
      <c r="J25" s="388"/>
      <c r="K25" s="388">
        <f>SUM(D25:E25)</f>
        <v>5000000.0199999996</v>
      </c>
      <c r="L25" s="388">
        <f t="shared" si="2"/>
        <v>8980474.0199999996</v>
      </c>
    </row>
    <row r="26" spans="2:12">
      <c r="B26" s="445" t="s">
        <v>111</v>
      </c>
    </row>
    <row r="29" spans="2:12">
      <c r="B29" t="s">
        <v>144</v>
      </c>
      <c r="C29" t="s">
        <v>145</v>
      </c>
      <c r="D29" s="390" t="s">
        <v>146</v>
      </c>
    </row>
    <row r="30" spans="2:12">
      <c r="B30" t="s">
        <v>144</v>
      </c>
      <c r="C30" t="s">
        <v>147</v>
      </c>
      <c r="D30" s="426" t="s">
        <v>148</v>
      </c>
    </row>
    <row r="31" spans="2:12">
      <c r="B31" t="s">
        <v>144</v>
      </c>
      <c r="C31" t="s">
        <v>149</v>
      </c>
      <c r="D31" s="426" t="s">
        <v>150</v>
      </c>
    </row>
    <row r="32" spans="2:12">
      <c r="C32" s="445"/>
    </row>
    <row r="34" spans="2:13" s="561" customFormat="1">
      <c r="B34" s="561" t="s">
        <v>151</v>
      </c>
    </row>
    <row r="37" spans="2:13">
      <c r="D37" s="356"/>
    </row>
    <row r="38" spans="2:13" ht="15.75" thickBot="1">
      <c r="B38">
        <v>2023</v>
      </c>
      <c r="I38">
        <v>2024</v>
      </c>
    </row>
    <row r="39" spans="2:13" ht="22.5">
      <c r="B39" s="438"/>
      <c r="C39" s="438"/>
      <c r="D39" s="438"/>
      <c r="E39" s="438"/>
      <c r="F39" s="840" t="s">
        <v>152</v>
      </c>
      <c r="G39" s="838">
        <v>4000000</v>
      </c>
      <c r="H39" s="602"/>
      <c r="I39" s="838">
        <v>4000000</v>
      </c>
      <c r="L39" s="2"/>
    </row>
    <row r="40" spans="2:13" ht="23.25" thickBot="1">
      <c r="B40" s="438"/>
      <c r="C40" s="618"/>
      <c r="D40" s="438"/>
      <c r="E40" s="438"/>
      <c r="F40" s="841"/>
      <c r="G40" s="839"/>
      <c r="H40" s="603"/>
      <c r="I40" s="839"/>
      <c r="J40" s="605"/>
      <c r="K40" s="604"/>
      <c r="L40" s="604"/>
    </row>
    <row r="41" spans="2:13" ht="48.75" thickTop="1" thickBot="1">
      <c r="B41" s="438"/>
      <c r="C41" s="619" t="s">
        <v>153</v>
      </c>
      <c r="D41" s="620" t="s">
        <v>154</v>
      </c>
      <c r="E41" s="621" t="s">
        <v>155</v>
      </c>
      <c r="F41" s="622" t="s">
        <v>156</v>
      </c>
      <c r="G41" s="623" t="s">
        <v>157</v>
      </c>
      <c r="H41" s="607"/>
      <c r="I41" s="608"/>
      <c r="J41" s="2"/>
      <c r="K41" s="4"/>
      <c r="L41" s="14"/>
      <c r="M41" s="2"/>
    </row>
    <row r="42" spans="2:13" ht="19.5" thickBot="1">
      <c r="B42" s="624" t="s">
        <v>108</v>
      </c>
      <c r="C42" s="625">
        <v>19156580</v>
      </c>
      <c r="D42" s="626">
        <v>17.489999999999998</v>
      </c>
      <c r="E42" s="627">
        <v>3379280.1025</v>
      </c>
      <c r="F42" s="628">
        <v>1</v>
      </c>
      <c r="G42" s="629">
        <v>4000000</v>
      </c>
      <c r="H42" s="607"/>
      <c r="I42" s="436"/>
    </row>
    <row r="43" spans="2:13" ht="19.5" thickBot="1">
      <c r="B43" s="630" t="s">
        <v>92</v>
      </c>
      <c r="C43" s="625">
        <v>344963</v>
      </c>
      <c r="D43" s="631">
        <v>17.75</v>
      </c>
      <c r="E43" s="629">
        <v>61230.932500000003</v>
      </c>
      <c r="F43" s="632">
        <v>1.8119519732827476E-2</v>
      </c>
      <c r="G43" s="629">
        <v>72478.078931309909</v>
      </c>
      <c r="H43" s="607"/>
      <c r="I43" s="659">
        <f>ROUND($I$39*F43,2)</f>
        <v>72478.080000000002</v>
      </c>
      <c r="J43" s="2"/>
      <c r="L43" s="2"/>
      <c r="M43" s="2"/>
    </row>
    <row r="44" spans="2:13" ht="19.5" thickBot="1">
      <c r="B44" s="630" t="s">
        <v>93</v>
      </c>
      <c r="C44" s="625">
        <v>722640</v>
      </c>
      <c r="D44" s="631">
        <v>18.5</v>
      </c>
      <c r="E44" s="629">
        <v>133688.4</v>
      </c>
      <c r="F44" s="632">
        <v>3.9561207104760854E-2</v>
      </c>
      <c r="G44" s="629">
        <v>158244.82841904342</v>
      </c>
      <c r="H44" s="609"/>
      <c r="I44" s="659">
        <f t="shared" ref="I44:I58" si="3">ROUND($I$39*F44,2)</f>
        <v>158244.82999999999</v>
      </c>
    </row>
    <row r="45" spans="2:13" ht="19.5" thickBot="1">
      <c r="B45" s="630" t="s">
        <v>94</v>
      </c>
      <c r="C45" s="625">
        <v>1692107</v>
      </c>
      <c r="D45" s="631">
        <v>19.5</v>
      </c>
      <c r="E45" s="629">
        <v>329960.86499999999</v>
      </c>
      <c r="F45" s="632">
        <v>9.7642354286019112E-2</v>
      </c>
      <c r="G45" s="629">
        <v>390569.41714407643</v>
      </c>
      <c r="H45" s="607"/>
      <c r="I45" s="659">
        <f t="shared" si="3"/>
        <v>390569.42</v>
      </c>
      <c r="J45" s="2"/>
      <c r="L45" s="2"/>
    </row>
    <row r="46" spans="2:13" ht="19.5" thickBot="1">
      <c r="B46" s="630" t="s">
        <v>95</v>
      </c>
      <c r="C46" s="625">
        <v>380756</v>
      </c>
      <c r="D46" s="631">
        <v>17.5</v>
      </c>
      <c r="E46" s="629">
        <v>66632.3</v>
      </c>
      <c r="F46" s="632">
        <v>1.9717897889170315E-2</v>
      </c>
      <c r="G46" s="629">
        <v>78871.591556681262</v>
      </c>
      <c r="H46" s="609"/>
      <c r="I46" s="659">
        <f t="shared" si="3"/>
        <v>78871.59</v>
      </c>
    </row>
    <row r="47" spans="2:13" ht="19.5" thickBot="1">
      <c r="B47" s="630" t="s">
        <v>96</v>
      </c>
      <c r="C47" s="625">
        <v>439309</v>
      </c>
      <c r="D47" s="631">
        <v>18.5</v>
      </c>
      <c r="E47" s="629">
        <v>81272.164999999994</v>
      </c>
      <c r="F47" s="632">
        <v>2.405014160852622E-2</v>
      </c>
      <c r="G47" s="629">
        <v>96200.566434104883</v>
      </c>
      <c r="H47" s="607"/>
      <c r="I47" s="659">
        <f t="shared" si="3"/>
        <v>96200.57</v>
      </c>
      <c r="J47" s="2"/>
      <c r="L47" s="2"/>
    </row>
    <row r="48" spans="2:13" ht="26.25" thickBot="1">
      <c r="B48" s="630" t="s">
        <v>97</v>
      </c>
      <c r="C48" s="625">
        <v>1136410</v>
      </c>
      <c r="D48" s="631">
        <v>18</v>
      </c>
      <c r="E48" s="629">
        <v>204553.8</v>
      </c>
      <c r="F48" s="632">
        <v>6.0531768245156881E-2</v>
      </c>
      <c r="G48" s="629">
        <v>242127.07298062753</v>
      </c>
      <c r="H48" s="609"/>
      <c r="I48" s="659">
        <f t="shared" si="3"/>
        <v>242127.07</v>
      </c>
    </row>
    <row r="49" spans="2:12" ht="19.5" thickBot="1">
      <c r="B49" s="630" t="s">
        <v>98</v>
      </c>
      <c r="C49" s="625">
        <v>2647567</v>
      </c>
      <c r="D49" s="631">
        <v>16.5</v>
      </c>
      <c r="E49" s="629">
        <v>436848.55499999999</v>
      </c>
      <c r="F49" s="632">
        <v>0.12927266806821319</v>
      </c>
      <c r="G49" s="629">
        <v>517090.6722728528</v>
      </c>
      <c r="H49" s="607"/>
      <c r="I49" s="659">
        <f t="shared" si="3"/>
        <v>517090.67</v>
      </c>
      <c r="J49" s="2"/>
      <c r="L49" s="2"/>
    </row>
    <row r="50" spans="2:12" ht="19.5" thickBot="1">
      <c r="B50" s="630" t="s">
        <v>99</v>
      </c>
      <c r="C50" s="625">
        <v>243463</v>
      </c>
      <c r="D50" s="631">
        <v>18.5</v>
      </c>
      <c r="E50" s="629">
        <v>45040.654999999999</v>
      </c>
      <c r="F50" s="632">
        <v>1.332847637183991E-2</v>
      </c>
      <c r="G50" s="629">
        <v>53313.90548735964</v>
      </c>
      <c r="H50" s="609"/>
      <c r="I50" s="659">
        <f t="shared" si="3"/>
        <v>53313.91</v>
      </c>
    </row>
    <row r="51" spans="2:12" ht="19.5" thickBot="1">
      <c r="B51" s="630" t="s">
        <v>100</v>
      </c>
      <c r="C51" s="625">
        <v>208986</v>
      </c>
      <c r="D51" s="631">
        <v>19.75</v>
      </c>
      <c r="E51" s="629">
        <v>41274.735000000001</v>
      </c>
      <c r="F51" s="632">
        <v>1.2214061500692069E-2</v>
      </c>
      <c r="G51" s="629">
        <v>48856.246002768276</v>
      </c>
      <c r="H51" s="607"/>
      <c r="I51" s="659">
        <f t="shared" si="3"/>
        <v>48856.25</v>
      </c>
      <c r="J51" s="2"/>
      <c r="L51" s="2"/>
    </row>
    <row r="52" spans="2:12" ht="19.5" thickBot="1">
      <c r="B52" s="630" t="s">
        <v>101</v>
      </c>
      <c r="C52" s="625">
        <v>1190080</v>
      </c>
      <c r="D52" s="631">
        <v>17.5</v>
      </c>
      <c r="E52" s="629">
        <v>208264</v>
      </c>
      <c r="F52" s="632">
        <v>6.1629694397314319E-2</v>
      </c>
      <c r="G52" s="629">
        <v>246518.77758925728</v>
      </c>
      <c r="H52" s="609"/>
      <c r="I52" s="659">
        <f t="shared" si="3"/>
        <v>246518.78</v>
      </c>
    </row>
    <row r="53" spans="2:12" ht="26.25" thickBot="1">
      <c r="B53" s="630" t="s">
        <v>102</v>
      </c>
      <c r="C53" s="625">
        <v>257318</v>
      </c>
      <c r="D53" s="631">
        <v>19.5</v>
      </c>
      <c r="E53" s="629">
        <v>50177.01</v>
      </c>
      <c r="F53" s="632">
        <v>1.4848431760030464E-2</v>
      </c>
      <c r="G53" s="629">
        <v>59393.727040121856</v>
      </c>
      <c r="H53" s="607"/>
      <c r="I53" s="659">
        <f t="shared" si="3"/>
        <v>59393.73</v>
      </c>
      <c r="J53" s="2"/>
      <c r="L53" s="2"/>
    </row>
    <row r="54" spans="2:12" ht="19.5" thickBot="1">
      <c r="B54" s="630" t="s">
        <v>107</v>
      </c>
      <c r="C54" s="625">
        <v>7654623</v>
      </c>
      <c r="D54" s="631">
        <v>17</v>
      </c>
      <c r="E54" s="629">
        <v>1301285.9099999999</v>
      </c>
      <c r="F54" s="632">
        <v>0.38507784810063694</v>
      </c>
      <c r="G54" s="629">
        <v>1540311.3924025479</v>
      </c>
      <c r="H54" s="609"/>
      <c r="I54" s="659">
        <f t="shared" si="3"/>
        <v>1540311.39</v>
      </c>
    </row>
    <row r="55" spans="2:12" ht="19.5" thickBot="1">
      <c r="B55" s="630" t="s">
        <v>103</v>
      </c>
      <c r="C55" s="625">
        <v>1136858</v>
      </c>
      <c r="D55" s="631">
        <v>18.25</v>
      </c>
      <c r="E55" s="629">
        <v>207476.58499999999</v>
      </c>
      <c r="F55" s="632">
        <v>6.1396681750799022E-2</v>
      </c>
      <c r="G55" s="629">
        <v>245586.72700319608</v>
      </c>
      <c r="H55" s="607"/>
      <c r="I55" s="659">
        <f t="shared" si="3"/>
        <v>245586.73</v>
      </c>
      <c r="J55" s="2"/>
      <c r="L55" s="2"/>
    </row>
    <row r="56" spans="2:12" ht="19.5" thickBot="1">
      <c r="B56" s="630" t="s">
        <v>104</v>
      </c>
      <c r="C56" s="625">
        <v>95465</v>
      </c>
      <c r="D56" s="631">
        <v>18</v>
      </c>
      <c r="E56" s="629">
        <v>17183.7</v>
      </c>
      <c r="F56" s="632">
        <v>5.0850179561284237E-3</v>
      </c>
      <c r="G56" s="629">
        <v>20340.071824513696</v>
      </c>
      <c r="H56" s="609"/>
      <c r="I56" s="659">
        <f t="shared" si="3"/>
        <v>20340.07</v>
      </c>
    </row>
    <row r="57" spans="2:12" ht="19.5" thickBot="1">
      <c r="B57" s="630" t="s">
        <v>105</v>
      </c>
      <c r="C57" s="625">
        <v>648692</v>
      </c>
      <c r="D57" s="631">
        <v>19.5</v>
      </c>
      <c r="E57" s="629">
        <v>126494.94</v>
      </c>
      <c r="F57" s="632">
        <v>3.7432511115731044E-2</v>
      </c>
      <c r="G57" s="629">
        <v>149730.04446292418</v>
      </c>
      <c r="H57" s="607"/>
      <c r="I57" s="659">
        <f t="shared" si="3"/>
        <v>149730.04</v>
      </c>
      <c r="J57" s="2"/>
      <c r="L57" s="2"/>
    </row>
    <row r="58" spans="2:12" ht="19.5" thickBot="1">
      <c r="B58" s="633" t="s">
        <v>106</v>
      </c>
      <c r="C58" s="634">
        <v>357345</v>
      </c>
      <c r="D58" s="635">
        <v>19</v>
      </c>
      <c r="E58" s="636">
        <v>67895.55</v>
      </c>
      <c r="F58" s="637">
        <v>2.0091720112153683E-2</v>
      </c>
      <c r="G58" s="636">
        <v>80366.880448614727</v>
      </c>
      <c r="H58" s="609"/>
      <c r="I58" s="659">
        <f t="shared" si="3"/>
        <v>80366.880000000005</v>
      </c>
    </row>
    <row r="59" spans="2:12">
      <c r="H59" s="607"/>
      <c r="I59" s="608"/>
      <c r="J59" s="2"/>
      <c r="L59" s="2"/>
    </row>
    <row r="60" spans="2:12">
      <c r="B60" s="606"/>
      <c r="C60" s="606"/>
      <c r="D60" s="609"/>
      <c r="E60" s="436"/>
      <c r="H60" s="609"/>
      <c r="I60" s="436">
        <f>SUM(I43:I58)</f>
        <v>4000000.01</v>
      </c>
    </row>
    <row r="61" spans="2:12">
      <c r="B61" s="606"/>
      <c r="C61" s="606"/>
      <c r="D61" s="607"/>
      <c r="E61" s="608"/>
      <c r="F61" s="2"/>
      <c r="H61" s="607"/>
      <c r="I61" s="608"/>
      <c r="J61" s="2"/>
      <c r="L61" s="2"/>
    </row>
    <row r="62" spans="2:12">
      <c r="B62" s="606"/>
      <c r="C62" s="606"/>
      <c r="D62" s="609"/>
      <c r="E62" s="436"/>
      <c r="H62" s="609"/>
      <c r="I62" s="436"/>
    </row>
    <row r="63" spans="2:12">
      <c r="B63" s="606"/>
      <c r="C63" s="606"/>
      <c r="D63" s="607"/>
      <c r="E63" s="608"/>
      <c r="F63" s="2"/>
      <c r="H63" s="607"/>
      <c r="I63" s="608"/>
      <c r="J63" s="2"/>
      <c r="L63" s="2"/>
    </row>
    <row r="64" spans="2:12">
      <c r="B64" s="606"/>
      <c r="C64" s="606"/>
      <c r="D64" s="609"/>
      <c r="E64" s="436"/>
      <c r="H64" s="609"/>
      <c r="I64" s="436"/>
    </row>
    <row r="65" spans="2:12">
      <c r="B65" s="606"/>
      <c r="C65" s="606"/>
      <c r="D65" s="607"/>
      <c r="E65" s="608"/>
      <c r="F65" s="2"/>
      <c r="H65" s="607"/>
      <c r="I65" s="608"/>
      <c r="J65" s="2"/>
      <c r="L65" s="2"/>
    </row>
    <row r="66" spans="2:12" ht="15.75" thickBot="1">
      <c r="B66" s="606"/>
      <c r="C66" s="606"/>
      <c r="D66" s="609"/>
      <c r="E66" s="436"/>
      <c r="H66" s="609"/>
      <c r="I66" s="436">
        <v>2024</v>
      </c>
    </row>
    <row r="67" spans="2:12">
      <c r="B67" s="438"/>
      <c r="C67" s="438"/>
      <c r="D67" s="438"/>
      <c r="E67" s="438"/>
      <c r="F67" s="840" t="s">
        <v>152</v>
      </c>
      <c r="G67" s="838">
        <v>1000000</v>
      </c>
      <c r="H67" s="607"/>
      <c r="I67" s="838">
        <v>1000000</v>
      </c>
      <c r="J67" s="2"/>
      <c r="L67" s="2"/>
    </row>
    <row r="68" spans="2:12" ht="23.25" thickBot="1">
      <c r="B68" s="438"/>
      <c r="C68" s="618"/>
      <c r="D68" s="438"/>
      <c r="E68" s="438"/>
      <c r="F68" s="841"/>
      <c r="G68" s="839"/>
      <c r="H68" s="609"/>
      <c r="I68" s="839"/>
    </row>
    <row r="69" spans="2:12" ht="106.5" thickTop="1" thickBot="1">
      <c r="B69" s="438"/>
      <c r="C69" s="619" t="s">
        <v>158</v>
      </c>
      <c r="D69" s="620" t="s">
        <v>154</v>
      </c>
      <c r="E69" s="621" t="s">
        <v>159</v>
      </c>
      <c r="F69" s="622" t="s">
        <v>156</v>
      </c>
      <c r="G69" s="623" t="s">
        <v>157</v>
      </c>
      <c r="H69" s="607"/>
      <c r="I69" s="608"/>
      <c r="J69" s="2"/>
      <c r="L69" s="2"/>
    </row>
    <row r="70" spans="2:12" ht="19.5" thickBot="1">
      <c r="B70" s="624" t="s">
        <v>108</v>
      </c>
      <c r="C70" s="625">
        <v>6632481</v>
      </c>
      <c r="D70" s="626">
        <v>17.489999999999998</v>
      </c>
      <c r="E70" s="627">
        <v>1206876.7643521384</v>
      </c>
      <c r="F70" s="628">
        <v>1</v>
      </c>
      <c r="G70" s="629">
        <v>1000000.0000000001</v>
      </c>
      <c r="H70" s="609"/>
      <c r="I70" s="436"/>
    </row>
    <row r="71" spans="2:12" ht="19.5" thickBot="1">
      <c r="B71" s="630" t="s">
        <v>92</v>
      </c>
      <c r="C71" s="625">
        <v>77474</v>
      </c>
      <c r="D71" s="631">
        <v>17.75</v>
      </c>
      <c r="E71" s="629">
        <v>13751.635</v>
      </c>
      <c r="F71" s="632">
        <v>1.1394398671170038E-2</v>
      </c>
      <c r="G71" s="629">
        <v>11394.398671170038</v>
      </c>
      <c r="H71" s="607"/>
      <c r="I71" s="659">
        <f>ROUND($I$67*F71,2)</f>
        <v>11394.4</v>
      </c>
      <c r="J71" s="2"/>
      <c r="L71" s="2"/>
    </row>
    <row r="72" spans="2:12" ht="19.5" thickBot="1">
      <c r="B72" s="630" t="s">
        <v>93</v>
      </c>
      <c r="C72" s="625">
        <v>497872</v>
      </c>
      <c r="D72" s="631">
        <v>18.5</v>
      </c>
      <c r="E72" s="629">
        <v>92106.32</v>
      </c>
      <c r="F72" s="632">
        <v>7.6317916394258736E-2</v>
      </c>
      <c r="G72" s="629">
        <v>76317.916394258733</v>
      </c>
      <c r="H72" s="609"/>
      <c r="I72" s="659">
        <f t="shared" ref="I72:I86" si="4">ROUND($I$67*F72,2)</f>
        <v>76317.919999999998</v>
      </c>
    </row>
    <row r="73" spans="2:12" ht="19.5" thickBot="1">
      <c r="B73" s="630" t="s">
        <v>94</v>
      </c>
      <c r="C73" s="625">
        <v>952006</v>
      </c>
      <c r="D73" s="631">
        <v>19.5</v>
      </c>
      <c r="E73" s="629">
        <v>185641.17</v>
      </c>
      <c r="F73" s="632">
        <v>0.15381949133775374</v>
      </c>
      <c r="G73" s="629">
        <v>153819.49133775375</v>
      </c>
      <c r="H73" s="607"/>
      <c r="I73" s="659">
        <f t="shared" si="4"/>
        <v>153819.49</v>
      </c>
      <c r="J73" s="2"/>
      <c r="L73" s="2"/>
    </row>
    <row r="74" spans="2:12" ht="19.5" thickBot="1">
      <c r="B74" s="630" t="s">
        <v>95</v>
      </c>
      <c r="C74" s="625">
        <v>141308</v>
      </c>
      <c r="D74" s="631">
        <v>17.5</v>
      </c>
      <c r="E74" s="629">
        <v>24728.9</v>
      </c>
      <c r="F74" s="632">
        <v>2.0489995938628151E-2</v>
      </c>
      <c r="G74" s="629">
        <v>20489.995938628152</v>
      </c>
      <c r="H74" s="609"/>
      <c r="I74" s="659">
        <f t="shared" si="4"/>
        <v>20490</v>
      </c>
    </row>
    <row r="75" spans="2:12" ht="19.5" thickBot="1">
      <c r="B75" s="630" t="s">
        <v>96</v>
      </c>
      <c r="C75" s="625">
        <v>322514</v>
      </c>
      <c r="D75" s="631">
        <v>18.5</v>
      </c>
      <c r="E75" s="629">
        <v>59665.09</v>
      </c>
      <c r="F75" s="632">
        <v>4.9437599398998056E-2</v>
      </c>
      <c r="G75" s="629">
        <v>49437.599398998056</v>
      </c>
      <c r="I75" s="659">
        <f t="shared" si="4"/>
        <v>49437.599999999999</v>
      </c>
    </row>
    <row r="76" spans="2:12" ht="26.25" thickBot="1">
      <c r="B76" s="630" t="s">
        <v>97</v>
      </c>
      <c r="C76" s="625">
        <v>690417</v>
      </c>
      <c r="D76" s="631">
        <v>18</v>
      </c>
      <c r="E76" s="629">
        <v>124275.06</v>
      </c>
      <c r="F76" s="632">
        <v>0.10297245225920966</v>
      </c>
      <c r="G76" s="629">
        <v>102972.45225920966</v>
      </c>
      <c r="I76" s="659">
        <f t="shared" si="4"/>
        <v>102972.45</v>
      </c>
    </row>
    <row r="77" spans="2:12" ht="19.5" thickBot="1">
      <c r="B77" s="630" t="s">
        <v>98</v>
      </c>
      <c r="C77" s="625">
        <v>616319</v>
      </c>
      <c r="D77" s="631">
        <v>16.5</v>
      </c>
      <c r="E77" s="629">
        <v>101692.63499999999</v>
      </c>
      <c r="F77" s="632">
        <v>8.4260993337285317E-2</v>
      </c>
      <c r="G77" s="629">
        <v>84260.993337285312</v>
      </c>
      <c r="I77" s="659">
        <f t="shared" si="4"/>
        <v>84260.99</v>
      </c>
    </row>
    <row r="78" spans="2:12" ht="19.5" thickBot="1">
      <c r="B78" s="630" t="s">
        <v>99</v>
      </c>
      <c r="C78" s="625">
        <v>12137</v>
      </c>
      <c r="D78" s="631">
        <v>18.5</v>
      </c>
      <c r="E78" s="629">
        <v>2245.3449999999998</v>
      </c>
      <c r="F78" s="632">
        <v>1.8604592169817107E-3</v>
      </c>
      <c r="G78" s="629">
        <v>1860.4592169817106</v>
      </c>
      <c r="I78" s="659">
        <f t="shared" si="4"/>
        <v>1860.46</v>
      </c>
    </row>
    <row r="79" spans="2:12" ht="19.5" thickBot="1">
      <c r="B79" s="630" t="s">
        <v>100</v>
      </c>
      <c r="C79" s="625">
        <v>9527.1058364817018</v>
      </c>
      <c r="D79" s="631">
        <v>19.75</v>
      </c>
      <c r="E79" s="629">
        <v>1881.6034027051362</v>
      </c>
      <c r="F79" s="632">
        <v>1.5590683807018165E-3</v>
      </c>
      <c r="G79" s="629">
        <v>1559.0683807018165</v>
      </c>
      <c r="I79" s="659">
        <f t="shared" si="4"/>
        <v>1559.07</v>
      </c>
    </row>
    <row r="80" spans="2:12" ht="23.25" thickBot="1">
      <c r="B80" s="630" t="s">
        <v>101</v>
      </c>
      <c r="C80" s="625">
        <v>763574</v>
      </c>
      <c r="D80" s="631">
        <v>17.5</v>
      </c>
      <c r="E80" s="629">
        <v>133625.45000000001</v>
      </c>
      <c r="F80" s="632">
        <v>0.1107200452829426</v>
      </c>
      <c r="G80" s="629">
        <v>110720.04528294261</v>
      </c>
      <c r="H80" s="602"/>
      <c r="I80" s="659">
        <f t="shared" si="4"/>
        <v>110720.05</v>
      </c>
      <c r="L80" s="2"/>
    </row>
    <row r="81" spans="2:12" ht="26.25" thickBot="1">
      <c r="B81" s="630" t="s">
        <v>102</v>
      </c>
      <c r="C81" s="625">
        <v>225292</v>
      </c>
      <c r="D81" s="631">
        <v>19.5</v>
      </c>
      <c r="E81" s="629">
        <v>43931.94</v>
      </c>
      <c r="F81" s="632">
        <v>3.6401347094939751E-2</v>
      </c>
      <c r="G81" s="629">
        <v>36401.347094939752</v>
      </c>
      <c r="H81" s="603"/>
      <c r="I81" s="659">
        <f t="shared" si="4"/>
        <v>36401.35</v>
      </c>
      <c r="J81" s="605"/>
      <c r="K81" s="604"/>
      <c r="L81" s="604"/>
    </row>
    <row r="82" spans="2:12" ht="19.5" thickBot="1">
      <c r="B82" s="630" t="s">
        <v>107</v>
      </c>
      <c r="C82" s="625">
        <v>734755</v>
      </c>
      <c r="D82" s="631">
        <v>17</v>
      </c>
      <c r="E82" s="629">
        <v>124908.35</v>
      </c>
      <c r="F82" s="632">
        <v>0.10349718686236524</v>
      </c>
      <c r="G82" s="629">
        <v>103497.18686236524</v>
      </c>
      <c r="H82" s="607"/>
      <c r="I82" s="659">
        <f t="shared" si="4"/>
        <v>103497.19</v>
      </c>
      <c r="J82" s="2"/>
      <c r="K82" s="4"/>
      <c r="L82" s="14"/>
    </row>
    <row r="83" spans="2:12" ht="19.5" thickBot="1">
      <c r="B83" s="630" t="s">
        <v>103</v>
      </c>
      <c r="C83" s="625">
        <v>818484</v>
      </c>
      <c r="D83" s="631">
        <v>18.25</v>
      </c>
      <c r="E83" s="629">
        <v>149373.32999999999</v>
      </c>
      <c r="F83" s="632">
        <v>0.12376850264424873</v>
      </c>
      <c r="G83" s="629">
        <v>123768.50264424873</v>
      </c>
      <c r="H83" s="607"/>
      <c r="I83" s="659">
        <f t="shared" si="4"/>
        <v>123768.5</v>
      </c>
    </row>
    <row r="84" spans="2:12" ht="19.5" thickBot="1">
      <c r="B84" s="630" t="s">
        <v>104</v>
      </c>
      <c r="C84" s="625">
        <v>3835.8941635182991</v>
      </c>
      <c r="D84" s="631">
        <v>18</v>
      </c>
      <c r="E84" s="629">
        <v>690.46094943329388</v>
      </c>
      <c r="F84" s="632">
        <v>5.7210559505960754E-4</v>
      </c>
      <c r="G84" s="629">
        <v>572.10559505960759</v>
      </c>
      <c r="H84" s="607"/>
      <c r="I84" s="659">
        <f t="shared" si="4"/>
        <v>572.11</v>
      </c>
      <c r="J84" s="2"/>
      <c r="L84" s="2"/>
    </row>
    <row r="85" spans="2:12" ht="19.5" thickBot="1">
      <c r="B85" s="630" t="s">
        <v>105</v>
      </c>
      <c r="C85" s="625">
        <v>527187</v>
      </c>
      <c r="D85" s="631">
        <v>19.5</v>
      </c>
      <c r="E85" s="629">
        <v>102801.465</v>
      </c>
      <c r="F85" s="632">
        <v>8.5179753257727753E-2</v>
      </c>
      <c r="G85" s="629">
        <v>85179.75325772776</v>
      </c>
      <c r="H85" s="609"/>
      <c r="I85" s="659">
        <f t="shared" si="4"/>
        <v>85179.75</v>
      </c>
    </row>
    <row r="86" spans="2:12" ht="19.5" thickBot="1">
      <c r="B86" s="633" t="s">
        <v>106</v>
      </c>
      <c r="C86" s="634">
        <v>239779</v>
      </c>
      <c r="D86" s="635">
        <v>19</v>
      </c>
      <c r="E86" s="636">
        <v>45558.01</v>
      </c>
      <c r="F86" s="637">
        <v>3.7748684327729126E-2</v>
      </c>
      <c r="G86" s="636">
        <v>37748.684327729126</v>
      </c>
      <c r="H86" s="607"/>
      <c r="I86" s="659">
        <f t="shared" si="4"/>
        <v>37748.68</v>
      </c>
      <c r="J86" s="2"/>
      <c r="L86" s="2"/>
    </row>
    <row r="87" spans="2:12">
      <c r="H87" s="609"/>
      <c r="I87" s="436"/>
    </row>
    <row r="88" spans="2:12">
      <c r="B88" s="606"/>
      <c r="C88" s="606"/>
      <c r="D88" s="607"/>
      <c r="E88" s="608"/>
      <c r="F88" s="2"/>
      <c r="H88" s="607"/>
      <c r="I88" s="436">
        <f>SUM(I71:I86)</f>
        <v>1000000.01</v>
      </c>
      <c r="J88" s="2"/>
      <c r="L88" s="2"/>
    </row>
    <row r="89" spans="2:12">
      <c r="B89" s="606"/>
      <c r="C89" s="606"/>
      <c r="D89" s="609"/>
      <c r="E89" s="436"/>
      <c r="H89" s="609"/>
      <c r="I89" s="436"/>
    </row>
    <row r="90" spans="2:12">
      <c r="B90" s="606"/>
      <c r="C90" s="606"/>
      <c r="D90" s="607"/>
      <c r="E90" s="608"/>
      <c r="F90" s="2"/>
      <c r="H90" s="607"/>
      <c r="I90" s="608"/>
      <c r="J90" s="2"/>
      <c r="L90" s="2"/>
    </row>
    <row r="91" spans="2:12">
      <c r="B91" s="606"/>
      <c r="C91" s="606"/>
      <c r="D91" s="609"/>
      <c r="E91" s="436"/>
      <c r="H91" s="609"/>
      <c r="I91" s="436"/>
    </row>
    <row r="92" spans="2:12">
      <c r="B92" s="606"/>
      <c r="C92" s="606"/>
      <c r="D92" s="607"/>
      <c r="E92" s="608"/>
      <c r="F92" s="2"/>
      <c r="H92" s="607"/>
      <c r="I92" s="608"/>
      <c r="J92" s="2"/>
      <c r="L92" s="2"/>
    </row>
    <row r="93" spans="2:12" ht="21">
      <c r="B93" s="444"/>
      <c r="C93" s="641" t="s">
        <v>160</v>
      </c>
      <c r="D93" s="2"/>
      <c r="H93" s="609"/>
      <c r="I93" s="436"/>
    </row>
    <row r="94" spans="2:12">
      <c r="B94" s="444"/>
      <c r="D94" s="2"/>
      <c r="F94" s="2"/>
      <c r="H94" s="607"/>
      <c r="I94" s="608"/>
      <c r="J94" s="2"/>
      <c r="L94" s="2"/>
    </row>
    <row r="95" spans="2:12" ht="15.75" thickBot="1">
      <c r="B95" s="444"/>
      <c r="D95" s="2"/>
      <c r="H95" s="609"/>
      <c r="I95" s="607">
        <v>2024</v>
      </c>
    </row>
    <row r="96" spans="2:12">
      <c r="B96" s="444"/>
      <c r="D96" s="2"/>
      <c r="F96" s="2"/>
      <c r="I96" s="838">
        <v>100000000</v>
      </c>
      <c r="J96" s="2"/>
      <c r="L96" s="2"/>
    </row>
    <row r="97" spans="2:12" ht="15.75" thickBot="1">
      <c r="B97" s="444" t="s">
        <v>161</v>
      </c>
      <c r="C97" s="426" t="s">
        <v>162</v>
      </c>
      <c r="D97" s="2">
        <v>96000000</v>
      </c>
      <c r="H97" s="390"/>
      <c r="I97" s="839"/>
    </row>
    <row r="98" spans="2:12" ht="15.75">
      <c r="B98" s="444"/>
      <c r="D98" s="2"/>
      <c r="F98" s="2"/>
      <c r="H98" s="638"/>
      <c r="I98" s="608"/>
      <c r="J98" s="591"/>
      <c r="L98" s="2"/>
    </row>
    <row r="99" spans="2:12" ht="180">
      <c r="B99" s="444"/>
      <c r="C99" s="55" t="s">
        <v>163</v>
      </c>
      <c r="D99" s="2"/>
      <c r="H99" s="609"/>
      <c r="I99" s="436"/>
    </row>
    <row r="100" spans="2:12">
      <c r="B100" s="444"/>
      <c r="C100" s="642" t="s">
        <v>164</v>
      </c>
      <c r="D100" s="2">
        <v>39134960</v>
      </c>
      <c r="F100" s="2"/>
      <c r="H100" s="607"/>
      <c r="I100" s="608"/>
      <c r="J100" s="2"/>
      <c r="L100" s="2"/>
    </row>
    <row r="101" spans="2:12">
      <c r="B101" s="444"/>
      <c r="C101" s="642" t="s">
        <v>165</v>
      </c>
      <c r="D101" s="2">
        <v>29729988</v>
      </c>
      <c r="H101" s="609"/>
      <c r="I101" s="436"/>
    </row>
    <row r="102" spans="2:12">
      <c r="B102" s="444"/>
      <c r="C102" s="642" t="s">
        <v>166</v>
      </c>
      <c r="D102" s="2">
        <v>22802700</v>
      </c>
      <c r="F102" s="2"/>
      <c r="H102" s="607"/>
      <c r="I102" s="608"/>
      <c r="J102" s="2"/>
      <c r="L102" s="2"/>
    </row>
    <row r="103" spans="2:12">
      <c r="B103" s="444"/>
      <c r="C103" s="642" t="s">
        <v>167</v>
      </c>
      <c r="D103" s="2">
        <v>700000</v>
      </c>
      <c r="H103" s="609"/>
      <c r="I103" s="436"/>
    </row>
    <row r="104" spans="2:12">
      <c r="B104" s="444"/>
      <c r="C104" s="642" t="s">
        <v>168</v>
      </c>
      <c r="D104" s="2">
        <v>13000</v>
      </c>
      <c r="F104" s="2"/>
      <c r="H104" s="607"/>
      <c r="I104" s="608"/>
      <c r="J104" s="2"/>
      <c r="L104" s="2"/>
    </row>
    <row r="105" spans="2:12">
      <c r="B105" s="444"/>
      <c r="C105" s="642" t="s">
        <v>169</v>
      </c>
      <c r="D105" s="2">
        <v>4000000</v>
      </c>
      <c r="H105" s="609"/>
      <c r="I105" s="436"/>
    </row>
    <row r="106" spans="2:12" ht="16.5" thickBot="1">
      <c r="B106" s="444" t="s">
        <v>170</v>
      </c>
      <c r="C106" s="766" t="s">
        <v>171</v>
      </c>
      <c r="D106" s="767">
        <v>96380648</v>
      </c>
      <c r="F106" s="2"/>
      <c r="H106" s="607"/>
      <c r="I106" s="608"/>
      <c r="J106" s="2"/>
      <c r="L106" s="2"/>
    </row>
    <row r="107" spans="2:12" ht="15.75" thickTop="1">
      <c r="B107" s="444"/>
      <c r="D107" s="2"/>
      <c r="H107" s="609"/>
      <c r="I107" s="436"/>
    </row>
    <row r="108" spans="2:12">
      <c r="B108" s="444" t="s">
        <v>172</v>
      </c>
      <c r="C108" t="s">
        <v>173</v>
      </c>
      <c r="D108" s="601">
        <v>0.99605057646012096</v>
      </c>
      <c r="F108" s="2"/>
      <c r="H108" s="607"/>
      <c r="I108" s="608"/>
      <c r="J108" s="2"/>
      <c r="L108" s="2"/>
    </row>
    <row r="109" spans="2:12">
      <c r="B109" s="444"/>
      <c r="D109" s="2"/>
      <c r="H109" s="609"/>
      <c r="I109" s="436"/>
    </row>
    <row r="110" spans="2:12" ht="120">
      <c r="B110" s="444" t="s">
        <v>174</v>
      </c>
      <c r="C110" s="54" t="s">
        <v>175</v>
      </c>
      <c r="D110" s="14">
        <v>22712642.4798472</v>
      </c>
      <c r="F110" s="2"/>
      <c r="H110" s="638"/>
      <c r="I110" s="608"/>
      <c r="J110" s="591"/>
      <c r="L110" s="2"/>
    </row>
    <row r="111" spans="2:12">
      <c r="B111" s="444"/>
      <c r="D111" s="2"/>
      <c r="H111" s="609"/>
      <c r="I111" s="436"/>
    </row>
    <row r="112" spans="2:12">
      <c r="B112" s="444"/>
      <c r="D112" s="2"/>
      <c r="F112" s="2"/>
      <c r="H112" s="607"/>
      <c r="I112" s="608"/>
      <c r="J112" s="2"/>
      <c r="L112" s="2"/>
    </row>
    <row r="113" spans="2:12">
      <c r="B113" s="444" t="s">
        <v>176</v>
      </c>
      <c r="C113" t="s">
        <v>177</v>
      </c>
      <c r="D113" s="643">
        <v>0.76090000000000002</v>
      </c>
      <c r="E113" s="426" t="s">
        <v>178</v>
      </c>
      <c r="H113" s="609"/>
      <c r="I113" s="436"/>
    </row>
    <row r="114" spans="2:12">
      <c r="B114" s="444"/>
      <c r="D114" s="2"/>
      <c r="F114" s="2"/>
      <c r="H114" s="607"/>
      <c r="I114" s="608"/>
      <c r="J114" s="2"/>
      <c r="L114" s="2"/>
    </row>
    <row r="115" spans="2:12" ht="90">
      <c r="B115" s="444" t="s">
        <v>179</v>
      </c>
      <c r="C115" s="444" t="s">
        <v>180</v>
      </c>
      <c r="D115" s="644">
        <v>0.1125</v>
      </c>
      <c r="E115" s="645" t="s">
        <v>181</v>
      </c>
      <c r="H115" s="609"/>
      <c r="I115" s="436"/>
    </row>
    <row r="116" spans="2:12">
      <c r="B116" s="444"/>
      <c r="D116" s="2"/>
    </row>
    <row r="117" spans="2:12" ht="135">
      <c r="B117" s="444" t="s">
        <v>182</v>
      </c>
      <c r="C117" s="646" t="s">
        <v>183</v>
      </c>
      <c r="D117" s="14">
        <v>3358092</v>
      </c>
      <c r="E117" s="4" t="s">
        <v>184</v>
      </c>
    </row>
    <row r="118" spans="2:12">
      <c r="B118" s="444"/>
      <c r="D118" s="2"/>
      <c r="H118" s="2"/>
    </row>
    <row r="119" spans="2:12">
      <c r="B119" s="444" t="s">
        <v>185</v>
      </c>
      <c r="C119" t="s">
        <v>186</v>
      </c>
      <c r="D119" s="2"/>
      <c r="H119" s="2"/>
    </row>
    <row r="120" spans="2:12" ht="15.75">
      <c r="B120" s="444"/>
      <c r="C120" t="s">
        <v>187</v>
      </c>
      <c r="D120" s="2"/>
      <c r="F120" s="639"/>
      <c r="G120" s="639"/>
      <c r="H120" s="640"/>
    </row>
    <row r="121" spans="2:12">
      <c r="B121" s="444"/>
      <c r="D121" s="2"/>
    </row>
    <row r="122" spans="2:12">
      <c r="B122" s="444"/>
      <c r="D122" s="449"/>
      <c r="H122" s="2"/>
    </row>
    <row r="123" spans="2:12">
      <c r="B123" s="444"/>
      <c r="D123" s="2">
        <v>17282049.662915736</v>
      </c>
      <c r="H123" s="2"/>
    </row>
    <row r="124" spans="2:12" ht="15.75">
      <c r="B124" s="444"/>
      <c r="D124" s="2">
        <v>1944230.5870780204</v>
      </c>
      <c r="F124" s="639"/>
      <c r="G124" s="639"/>
      <c r="H124" s="640"/>
      <c r="I124" s="640"/>
      <c r="J124" s="640"/>
    </row>
    <row r="125" spans="2:12">
      <c r="B125" s="444"/>
      <c r="D125" s="2"/>
    </row>
    <row r="126" spans="2:12">
      <c r="B126" s="444"/>
      <c r="D126" s="2">
        <v>29849707.556639768</v>
      </c>
    </row>
    <row r="127" spans="2:12">
      <c r="B127" s="444"/>
      <c r="D127" s="2">
        <v>3358092.100121974</v>
      </c>
      <c r="I127" s="356">
        <v>3980474</v>
      </c>
      <c r="K127" t="s">
        <v>188</v>
      </c>
    </row>
    <row r="128" spans="2:12">
      <c r="B128" s="444"/>
      <c r="D128" s="2"/>
    </row>
    <row r="129" spans="2:7" s="561" customFormat="1"/>
    <row r="130" spans="2:7">
      <c r="C130" s="444"/>
      <c r="D130" s="444"/>
      <c r="F130" s="397"/>
      <c r="G130" s="397"/>
    </row>
    <row r="131" spans="2:7" ht="15.75">
      <c r="C131" s="426"/>
      <c r="D131" s="770"/>
    </row>
    <row r="132" spans="2:7" ht="15.75">
      <c r="C132" s="426"/>
      <c r="D132" s="770"/>
    </row>
    <row r="133" spans="2:7" ht="15.75">
      <c r="C133" s="770"/>
      <c r="D133" s="770"/>
    </row>
    <row r="134" spans="2:7" ht="15.75">
      <c r="C134" s="770"/>
      <c r="D134" s="770"/>
    </row>
    <row r="135" spans="2:7" ht="15.75">
      <c r="D135" s="770"/>
    </row>
    <row r="136" spans="2:7" ht="15.75">
      <c r="C136" s="4"/>
      <c r="D136" s="770"/>
    </row>
    <row r="137" spans="2:7" ht="15.75">
      <c r="C137" s="389"/>
      <c r="D137" s="770"/>
    </row>
    <row r="139" spans="2:7" s="561" customFormat="1"/>
    <row r="143" spans="2:7" ht="21">
      <c r="B143" s="641" t="s">
        <v>189</v>
      </c>
      <c r="C143" s="2"/>
    </row>
    <row r="144" spans="2:7">
      <c r="C144" s="2"/>
    </row>
    <row r="145" spans="2:4">
      <c r="C145" s="2"/>
    </row>
    <row r="146" spans="2:4">
      <c r="C146" s="2"/>
    </row>
    <row r="147" spans="2:4">
      <c r="B147" s="426" t="s">
        <v>162</v>
      </c>
      <c r="C147" s="765">
        <v>101000000</v>
      </c>
    </row>
    <row r="148" spans="2:4">
      <c r="C148" s="2"/>
    </row>
    <row r="149" spans="2:4" ht="255">
      <c r="B149" s="55" t="s">
        <v>163</v>
      </c>
      <c r="C149" s="2"/>
    </row>
    <row r="150" spans="2:4">
      <c r="B150" s="642" t="s">
        <v>164</v>
      </c>
      <c r="C150" s="2">
        <v>39134960</v>
      </c>
    </row>
    <row r="151" spans="2:4">
      <c r="B151" s="642" t="s">
        <v>165</v>
      </c>
      <c r="C151" s="2">
        <v>29729988</v>
      </c>
    </row>
    <row r="152" spans="2:4">
      <c r="B152" s="642" t="s">
        <v>166</v>
      </c>
      <c r="C152" s="765">
        <v>27000000</v>
      </c>
      <c r="D152" t="s">
        <v>190</v>
      </c>
    </row>
    <row r="153" spans="2:4">
      <c r="B153" s="642" t="s">
        <v>167</v>
      </c>
      <c r="C153" s="2">
        <v>700000</v>
      </c>
    </row>
    <row r="154" spans="2:4">
      <c r="B154" s="642" t="s">
        <v>168</v>
      </c>
      <c r="C154" s="2">
        <v>13000</v>
      </c>
    </row>
    <row r="155" spans="2:4">
      <c r="B155" s="642" t="s">
        <v>169</v>
      </c>
      <c r="C155" s="2">
        <v>4000000</v>
      </c>
    </row>
    <row r="156" spans="2:4" ht="16.5" thickBot="1">
      <c r="B156" s="766" t="s">
        <v>171</v>
      </c>
      <c r="C156" s="767">
        <v>100577948</v>
      </c>
    </row>
    <row r="157" spans="2:4" ht="15.75" thickTop="1">
      <c r="C157" s="2"/>
    </row>
    <row r="158" spans="2:4">
      <c r="B158" t="s">
        <v>173</v>
      </c>
      <c r="C158" s="601">
        <v>1.0041962677544385</v>
      </c>
    </row>
    <row r="159" spans="2:4">
      <c r="C159" s="2"/>
    </row>
    <row r="160" spans="2:4" ht="150">
      <c r="B160" s="54" t="s">
        <v>175</v>
      </c>
      <c r="C160" s="14">
        <v>27000000</v>
      </c>
    </row>
    <row r="161" spans="2:4">
      <c r="C161" s="2"/>
    </row>
    <row r="162" spans="2:4">
      <c r="C162" s="2"/>
      <c r="D162" s="768" t="s">
        <v>191</v>
      </c>
    </row>
    <row r="163" spans="2:4">
      <c r="B163" t="s">
        <v>177</v>
      </c>
      <c r="C163" s="643">
        <v>0.7631</v>
      </c>
      <c r="D163" s="426" t="s">
        <v>178</v>
      </c>
    </row>
    <row r="164" spans="2:4">
      <c r="C164" s="2"/>
    </row>
    <row r="165" spans="2:4" ht="120">
      <c r="B165" s="444" t="s">
        <v>180</v>
      </c>
      <c r="C165" s="644">
        <v>0.1125</v>
      </c>
      <c r="D165" s="645" t="s">
        <v>181</v>
      </c>
    </row>
    <row r="166" spans="2:4">
      <c r="C166" s="2"/>
    </row>
    <row r="167" spans="2:4" ht="180">
      <c r="B167" s="646" t="s">
        <v>183</v>
      </c>
      <c r="C167" s="14">
        <v>3980474</v>
      </c>
      <c r="D167" s="4" t="s">
        <v>184</v>
      </c>
    </row>
    <row r="168" spans="2:4">
      <c r="C168" s="2"/>
    </row>
    <row r="169" spans="2:4">
      <c r="B169" t="s">
        <v>186</v>
      </c>
      <c r="C169" s="2"/>
    </row>
    <row r="170" spans="2:4">
      <c r="B170" t="s">
        <v>187</v>
      </c>
      <c r="C170" s="2"/>
    </row>
    <row r="171" spans="2:4">
      <c r="C171" s="2"/>
    </row>
    <row r="172" spans="2:4">
      <c r="C172" s="449"/>
    </row>
    <row r="173" spans="2:4">
      <c r="C173" s="2">
        <v>20603700</v>
      </c>
    </row>
    <row r="174" spans="2:4">
      <c r="C174" s="2">
        <v>2317916.25</v>
      </c>
    </row>
    <row r="175" spans="2:4">
      <c r="C175" s="2"/>
    </row>
    <row r="176" spans="2:4">
      <c r="C176" s="2"/>
    </row>
    <row r="177" spans="3:4" ht="78.75">
      <c r="C177" s="2"/>
      <c r="D177" s="769" t="s">
        <v>192</v>
      </c>
    </row>
    <row r="178" spans="3:4">
      <c r="C178" s="2"/>
    </row>
    <row r="179" spans="3:4" ht="78.75">
      <c r="C179" s="2"/>
      <c r="D179" s="769" t="s">
        <v>193</v>
      </c>
    </row>
    <row r="180" spans="3:4">
      <c r="C180" s="2"/>
    </row>
    <row r="181" spans="3:4" ht="78.75">
      <c r="C181" s="2"/>
      <c r="D181" s="769" t="s">
        <v>194</v>
      </c>
    </row>
    <row r="182" spans="3:4">
      <c r="C182" s="2"/>
    </row>
    <row r="183" spans="3:4" ht="78.75">
      <c r="C183" s="2"/>
      <c r="D183" s="769" t="s">
        <v>195</v>
      </c>
    </row>
    <row r="184" spans="3:4">
      <c r="C184" s="2"/>
    </row>
    <row r="185" spans="3:4" ht="78.75">
      <c r="C185" s="2"/>
      <c r="D185" s="769" t="s">
        <v>196</v>
      </c>
    </row>
    <row r="186" spans="3:4">
      <c r="C186" s="2"/>
    </row>
    <row r="187" spans="3:4">
      <c r="C187" s="2"/>
    </row>
  </sheetData>
  <mergeCells count="7">
    <mergeCell ref="I96:I97"/>
    <mergeCell ref="F39:F40"/>
    <mergeCell ref="G39:G40"/>
    <mergeCell ref="F67:F68"/>
    <mergeCell ref="G67:G68"/>
    <mergeCell ref="I39:I40"/>
    <mergeCell ref="I67:I68"/>
  </mergeCells>
  <hyperlinks>
    <hyperlink ref="D30" r:id="rId1" display="https://www.lagtinget.ax/dokument/lagforslag-11-2022-2023-53175" xr:uid="{00000000-0004-0000-0300-000000000000}"/>
    <hyperlink ref="D31" r:id="rId2" display="https://www.lagtinget.ax/dokument/lagforslag-52022-2023-52735" xr:uid="{00000000-0004-0000-0300-000001000000}"/>
  </hyperlinks>
  <pageMargins left="0.7" right="0.7" top="0.75" bottom="0.75" header="0.3" footer="0.3"/>
  <pageSetup paperSize="9"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66"/>
  <sheetViews>
    <sheetView topLeftCell="A3" workbookViewId="0">
      <selection activeCell="F26" sqref="F26"/>
    </sheetView>
  </sheetViews>
  <sheetFormatPr defaultRowHeight="15"/>
  <cols>
    <col min="1" max="1" width="35.21875" customWidth="1"/>
    <col min="3" max="3" width="11.33203125" bestFit="1" customWidth="1"/>
    <col min="6" max="7" width="11.33203125" bestFit="1" customWidth="1"/>
  </cols>
  <sheetData>
    <row r="1" spans="1:10" ht="15.75">
      <c r="A1" s="11" t="s">
        <v>197</v>
      </c>
      <c r="C1" s="390" t="s">
        <v>111</v>
      </c>
    </row>
    <row r="4" spans="1:10" ht="15.75">
      <c r="A4" s="87" t="s">
        <v>198</v>
      </c>
      <c r="B4" s="89" t="s">
        <v>199</v>
      </c>
      <c r="C4" s="89" t="s">
        <v>200</v>
      </c>
      <c r="I4" s="617"/>
      <c r="J4" s="617"/>
    </row>
    <row r="5" spans="1:10" ht="15.75">
      <c r="A5" s="770" t="s">
        <v>59</v>
      </c>
      <c r="B5" s="776">
        <v>15730465.460000001</v>
      </c>
      <c r="C5" s="776">
        <f>'Lsandelar totalt'!B26</f>
        <v>16920145.690000001</v>
      </c>
      <c r="I5" s="2"/>
      <c r="J5" s="2"/>
    </row>
    <row r="6" spans="1:10" ht="15.75">
      <c r="A6" s="770" t="s">
        <v>201</v>
      </c>
      <c r="B6" s="776">
        <v>13388406.5403</v>
      </c>
      <c r="C6" s="776">
        <f>'Lsandelar totalt'!C26+'Lsandelar totalt'!D26+'Lsandelar totalt'!E26+'Lsandelar totalt'!G26+'Lsandelar totalt'!F26</f>
        <v>13933287.804499999</v>
      </c>
      <c r="D6" s="776"/>
      <c r="I6" s="360"/>
    </row>
    <row r="7" spans="1:10" ht="15.75">
      <c r="A7" s="770" t="s">
        <v>202</v>
      </c>
      <c r="B7" s="776">
        <v>9185869.6400000006</v>
      </c>
      <c r="C7" s="776">
        <f>'Lsandelar totalt'!H26+'Lsandelar totalt'!I26</f>
        <v>9759052.7899999991</v>
      </c>
    </row>
    <row r="8" spans="1:10" ht="15.75">
      <c r="A8" s="770" t="s">
        <v>62</v>
      </c>
      <c r="B8" s="776">
        <v>497125.78</v>
      </c>
      <c r="C8" s="776">
        <f>'Lsandelar totalt'!J26+'Lsandelar totalt'!K26</f>
        <v>519928.25</v>
      </c>
    </row>
    <row r="9" spans="1:10" ht="15.75">
      <c r="A9" s="770"/>
      <c r="B9" s="776"/>
      <c r="C9" s="776"/>
    </row>
    <row r="10" spans="1:10" ht="15.75">
      <c r="A10" s="784"/>
      <c r="B10" s="782"/>
      <c r="C10" s="782"/>
    </row>
    <row r="11" spans="1:10" ht="15.75">
      <c r="A11" s="4" t="s">
        <v>72</v>
      </c>
      <c r="B11" s="14">
        <f>SUM(B5:B10)</f>
        <v>38801867.420300007</v>
      </c>
      <c r="C11" s="14">
        <f>SUM(C5:C10)</f>
        <v>41132414.534500003</v>
      </c>
    </row>
    <row r="13" spans="1:10" ht="15.75">
      <c r="A13" s="770"/>
      <c r="B13" s="770"/>
      <c r="C13" s="770"/>
    </row>
    <row r="14" spans="1:10" ht="15.75">
      <c r="A14" s="770"/>
      <c r="B14" s="770"/>
      <c r="C14" s="770"/>
    </row>
    <row r="15" spans="1:10" ht="15.75">
      <c r="A15" s="770"/>
      <c r="B15" s="770"/>
      <c r="C15" s="770"/>
    </row>
    <row r="16" spans="1:10" ht="15.75">
      <c r="A16" s="87" t="s">
        <v>203</v>
      </c>
      <c r="B16" s="89" t="s">
        <v>199</v>
      </c>
      <c r="C16" s="89" t="s">
        <v>200</v>
      </c>
    </row>
    <row r="17" spans="1:4" ht="15.75">
      <c r="A17" s="770" t="s">
        <v>204</v>
      </c>
      <c r="B17" s="776">
        <v>5000000</v>
      </c>
      <c r="C17" s="591">
        <f>'Kompensationer år 2024'!D25+'Kompensationer år 2024'!E25</f>
        <v>5000000.0199999996</v>
      </c>
      <c r="D17" s="358"/>
    </row>
    <row r="18" spans="1:4" ht="15.75">
      <c r="A18" s="770" t="s">
        <v>205</v>
      </c>
      <c r="B18" s="776">
        <v>3358092</v>
      </c>
      <c r="C18" s="591">
        <f>'Kompensationer år 2024'!G25</f>
        <v>3980474</v>
      </c>
    </row>
    <row r="19" spans="1:4" ht="15.75">
      <c r="A19" s="770" t="s">
        <v>206</v>
      </c>
      <c r="B19" s="776">
        <v>0</v>
      </c>
      <c r="C19" s="776">
        <v>0</v>
      </c>
    </row>
    <row r="20" spans="1:4" ht="15.75">
      <c r="A20" s="784" t="s">
        <v>207</v>
      </c>
      <c r="B20" s="782">
        <v>0</v>
      </c>
      <c r="C20" s="784">
        <v>0</v>
      </c>
    </row>
    <row r="21" spans="1:4" ht="15.75">
      <c r="A21" s="4" t="s">
        <v>72</v>
      </c>
      <c r="B21" s="14">
        <f>SUM(B17:B20)</f>
        <v>8358092</v>
      </c>
      <c r="C21" s="14">
        <f>SUM(C17:C20)</f>
        <v>8980474.0199999996</v>
      </c>
    </row>
    <row r="22" spans="1:4" ht="15.75">
      <c r="A22" s="770"/>
      <c r="B22" s="770"/>
      <c r="C22" s="770"/>
    </row>
    <row r="23" spans="1:4" ht="15.75">
      <c r="A23" s="87" t="s">
        <v>80</v>
      </c>
      <c r="B23" s="89" t="s">
        <v>199</v>
      </c>
      <c r="C23" s="89" t="s">
        <v>200</v>
      </c>
    </row>
    <row r="24" spans="1:4" ht="15.75">
      <c r="A24" s="770" t="s">
        <v>131</v>
      </c>
      <c r="B24" s="776"/>
      <c r="C24" s="591">
        <f>'Överföringar totalt'!F25</f>
        <v>211815</v>
      </c>
    </row>
    <row r="26" spans="1:4" ht="15.75">
      <c r="A26" s="87" t="s">
        <v>197</v>
      </c>
      <c r="B26" s="89" t="s">
        <v>199</v>
      </c>
      <c r="C26" s="89" t="s">
        <v>200</v>
      </c>
    </row>
    <row r="27" spans="1:4" ht="15.75">
      <c r="A27" s="4" t="s">
        <v>72</v>
      </c>
      <c r="B27" s="776">
        <f>B11+B21</f>
        <v>47159959.420300007</v>
      </c>
      <c r="C27" s="776">
        <f>C11+C21+C24</f>
        <v>50324703.554499999</v>
      </c>
    </row>
    <row r="48" spans="1:18" ht="30">
      <c r="A48" s="87" t="s">
        <v>208</v>
      </c>
      <c r="B48" s="89"/>
      <c r="C48" s="89"/>
      <c r="F48" s="87" t="s">
        <v>209</v>
      </c>
      <c r="G48" s="89" t="s">
        <v>210</v>
      </c>
      <c r="H48" s="89" t="s">
        <v>211</v>
      </c>
      <c r="K48" s="87" t="s">
        <v>212</v>
      </c>
      <c r="L48" s="89"/>
      <c r="M48" s="89"/>
      <c r="P48" s="87" t="s">
        <v>213</v>
      </c>
      <c r="Q48" s="89"/>
      <c r="R48" s="89"/>
    </row>
    <row r="49" spans="1:8" ht="15.75">
      <c r="A49" s="4"/>
      <c r="B49" s="776" t="s">
        <v>214</v>
      </c>
      <c r="C49" s="776"/>
      <c r="F49" s="4"/>
      <c r="G49" s="776" t="s">
        <v>214</v>
      </c>
      <c r="H49" s="776"/>
    </row>
    <row r="65" spans="1:18" ht="15.75">
      <c r="A65" s="87" t="s">
        <v>215</v>
      </c>
      <c r="B65" s="89"/>
      <c r="C65" s="89"/>
      <c r="F65" s="87" t="s">
        <v>216</v>
      </c>
      <c r="G65" s="89"/>
      <c r="H65" s="89"/>
      <c r="K65" s="87" t="s">
        <v>216</v>
      </c>
      <c r="L65" s="89"/>
      <c r="M65" s="89"/>
      <c r="P65" s="87" t="s">
        <v>216</v>
      </c>
      <c r="Q65" s="89"/>
      <c r="R65" s="89"/>
    </row>
    <row r="66" spans="1:18" ht="15.75">
      <c r="B66" s="776" t="s">
        <v>214</v>
      </c>
    </row>
  </sheetData>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8"/>
  <sheetViews>
    <sheetView topLeftCell="A3" workbookViewId="0">
      <selection activeCell="D32" sqref="D32"/>
    </sheetView>
  </sheetViews>
  <sheetFormatPr defaultRowHeight="15"/>
  <cols>
    <col min="1" max="4" width="15.5546875" customWidth="1"/>
    <col min="9" max="9" width="9.109375" bestFit="1" customWidth="1"/>
    <col min="10" max="10" width="9.44140625" bestFit="1" customWidth="1"/>
  </cols>
  <sheetData>
    <row r="1" spans="1:18" ht="15.75">
      <c r="A1" s="11" t="s">
        <v>217</v>
      </c>
    </row>
    <row r="2" spans="1:18" ht="15.75" customHeight="1"/>
    <row r="3" spans="1:18" ht="15.75">
      <c r="A3" s="82" t="s">
        <v>74</v>
      </c>
    </row>
    <row r="4" spans="1:18" ht="15.75">
      <c r="A4" s="82"/>
    </row>
    <row r="5" spans="1:18" ht="48.75" customHeight="1">
      <c r="A5" s="87"/>
      <c r="B5" s="87" t="s">
        <v>218</v>
      </c>
      <c r="C5" s="87" t="s">
        <v>219</v>
      </c>
      <c r="D5" s="87" t="s">
        <v>220</v>
      </c>
      <c r="E5" s="87" t="s">
        <v>221</v>
      </c>
      <c r="G5" s="87" t="s">
        <v>4</v>
      </c>
      <c r="H5" s="87" t="s">
        <v>222</v>
      </c>
      <c r="I5" s="87" t="s">
        <v>223</v>
      </c>
      <c r="K5" s="87" t="s">
        <v>224</v>
      </c>
      <c r="L5" s="87" t="s">
        <v>225</v>
      </c>
      <c r="M5" s="87" t="s">
        <v>226</v>
      </c>
      <c r="O5" s="87"/>
      <c r="R5" s="87" t="s">
        <v>227</v>
      </c>
    </row>
    <row r="6" spans="1:18" ht="18.75" customHeight="1">
      <c r="A6" s="329" t="s">
        <v>92</v>
      </c>
      <c r="B6" s="785">
        <f>'Lsandelar totalt'!O7</f>
        <v>757211.82079999987</v>
      </c>
      <c r="C6" s="330">
        <f>'Lsandelar totalt'!O7/Invånare!B6</f>
        <v>1682.6929351111107</v>
      </c>
      <c r="D6" s="786">
        <f>'Lsandelar totalt'!O7/'Lsandelar totalt'!$O$26</f>
        <v>2.0547282694107105E-2</v>
      </c>
      <c r="E6" s="786">
        <f>D6</f>
        <v>2.0547282694107105E-2</v>
      </c>
      <c r="G6" s="787">
        <f>Invånare!B6</f>
        <v>450</v>
      </c>
      <c r="H6" s="788">
        <f>R6*1000/G6</f>
        <v>6540</v>
      </c>
      <c r="I6" s="788">
        <f>('Skattekompl data'!F9+'Skattekompl data'!F51)/G6</f>
        <v>4926.4624779017195</v>
      </c>
      <c r="J6" s="429"/>
      <c r="K6" s="786">
        <f>Invånare!B6/Invånare!$B$22</f>
        <v>1.4822622616028196E-2</v>
      </c>
      <c r="L6" s="786">
        <f>R6/$R$22</f>
        <v>1.9184636645719799E-2</v>
      </c>
      <c r="M6" s="786">
        <f>('Skattekompl data'!F9+'Skattekompl data'!F51)/('Skattekompl data'!$F$25+'Skattekompl data'!$F$67)</f>
        <v>1.8878647725180654E-2</v>
      </c>
      <c r="O6" s="788"/>
      <c r="R6" s="787">
        <v>2943</v>
      </c>
    </row>
    <row r="7" spans="1:18" ht="18.75" customHeight="1">
      <c r="A7" s="329" t="s">
        <v>93</v>
      </c>
      <c r="B7" s="785">
        <f>'Lsandelar totalt'!O8</f>
        <v>2015839.4703999995</v>
      </c>
      <c r="C7" s="330">
        <f>'Lsandelar totalt'!O8/Invånare!B7</f>
        <v>2146.7938981895627</v>
      </c>
      <c r="D7" s="786">
        <f>'Lsandelar totalt'!O8/'Lsandelar totalt'!$O$26</f>
        <v>5.4700709004367347E-2</v>
      </c>
      <c r="E7" s="786">
        <f>D7+D6</f>
        <v>7.5247991698474459E-2</v>
      </c>
      <c r="G7" s="787">
        <f>Invånare!B7</f>
        <v>939</v>
      </c>
      <c r="H7" s="788">
        <f t="shared" ref="H7:H22" si="0">R7*1000/G7</f>
        <v>5902.0234291799788</v>
      </c>
      <c r="I7" s="788">
        <f>('Skattekompl data'!F10+'Skattekompl data'!F52)/G7</f>
        <v>3396.627070325741</v>
      </c>
      <c r="K7" s="786">
        <f>Invånare!B7/Invånare!$B$22</f>
        <v>3.0929872525445504E-2</v>
      </c>
      <c r="L7" s="786">
        <f t="shared" ref="L7:L21" si="1">R7/$R$22</f>
        <v>3.6126828505123727E-2</v>
      </c>
      <c r="M7" s="786">
        <f>('Skattekompl data'!F10+'Skattekompl data'!F52)/('Skattekompl data'!$F$25+'Skattekompl data'!$F$67)</f>
        <v>2.716043043227041E-2</v>
      </c>
      <c r="O7" s="788"/>
      <c r="R7" s="787">
        <v>5542</v>
      </c>
    </row>
    <row r="8" spans="1:18" ht="18.75" customHeight="1">
      <c r="A8" s="329" t="s">
        <v>94</v>
      </c>
      <c r="B8" s="785">
        <f>'Lsandelar totalt'!O9</f>
        <v>4145310.3209999995</v>
      </c>
      <c r="C8" s="330">
        <f>'Lsandelar totalt'!O9/Invånare!B8</f>
        <v>1601.7427824574959</v>
      </c>
      <c r="D8" s="786">
        <f>'Lsandelar totalt'!O9/'Lsandelar totalt'!$O$26</f>
        <v>0.11248485652323678</v>
      </c>
      <c r="E8" s="786">
        <f>D8+E7</f>
        <v>0.18773284822171124</v>
      </c>
      <c r="G8" s="787">
        <f>Invånare!B8</f>
        <v>2588</v>
      </c>
      <c r="H8" s="788">
        <f t="shared" si="0"/>
        <v>5209.4281298299848</v>
      </c>
      <c r="I8" s="788">
        <f>('Skattekompl data'!F11+'Skattekompl data'!F53)/G8</f>
        <v>3871.4426491226586</v>
      </c>
      <c r="K8" s="786">
        <f>Invånare!B8/Invånare!$B$22</f>
        <v>8.5246549622846599E-2</v>
      </c>
      <c r="L8" s="786">
        <f t="shared" si="1"/>
        <v>8.7885583166019132E-2</v>
      </c>
      <c r="M8" s="786">
        <f>('Skattekompl data'!F11+'Skattekompl data'!F53)/('Skattekompl data'!$F$25+'Skattekompl data'!$F$67)</f>
        <v>8.5321855511534705E-2</v>
      </c>
      <c r="O8" s="788"/>
      <c r="R8" s="787">
        <v>13482</v>
      </c>
    </row>
    <row r="9" spans="1:18" ht="18.75" customHeight="1">
      <c r="A9" s="329" t="s">
        <v>95</v>
      </c>
      <c r="B9" s="785">
        <f>'Lsandelar totalt'!O10</f>
        <v>1474871.2592000002</v>
      </c>
      <c r="C9" s="330">
        <f>'Lsandelar totalt'!O10/Invånare!B9</f>
        <v>2926.3318634920638</v>
      </c>
      <c r="D9" s="786">
        <f>'Lsandelar totalt'!O10/'Lsandelar totalt'!$O$26</f>
        <v>4.0021293735455807E-2</v>
      </c>
      <c r="E9" s="786">
        <f t="shared" ref="E9:E21" si="2">D9+E8</f>
        <v>0.22775414195716703</v>
      </c>
      <c r="G9" s="787">
        <f>Invånare!B9</f>
        <v>504</v>
      </c>
      <c r="H9" s="788">
        <f t="shared" si="0"/>
        <v>7269.8412698412694</v>
      </c>
      <c r="I9" s="788">
        <f>('Skattekompl data'!F12+'Skattekompl data'!F54)/G9</f>
        <v>3287.5821047525119</v>
      </c>
      <c r="K9" s="786">
        <f>Invånare!B9/Invånare!$B$22</f>
        <v>1.6601337329951581E-2</v>
      </c>
      <c r="L9" s="786">
        <f t="shared" si="1"/>
        <v>2.3884644468201613E-2</v>
      </c>
      <c r="M9" s="786">
        <f>('Skattekompl data'!F12+'Skattekompl data'!F54)/('Skattekompl data'!$F$25+'Skattekompl data'!$F$67)</f>
        <v>1.4110107864583854E-2</v>
      </c>
      <c r="O9" s="788"/>
      <c r="R9" s="787">
        <v>3664</v>
      </c>
    </row>
    <row r="10" spans="1:18" ht="18.75" customHeight="1">
      <c r="A10" s="329" t="s">
        <v>96</v>
      </c>
      <c r="B10" s="785">
        <f>'Lsandelar totalt'!O11</f>
        <v>1624231.6832999999</v>
      </c>
      <c r="C10" s="330">
        <f>'Lsandelar totalt'!O11/Invånare!B10</f>
        <v>3203.6127875739644</v>
      </c>
      <c r="D10" s="786">
        <f>'Lsandelar totalt'!O11/'Lsandelar totalt'!$O$26</f>
        <v>4.4074255896099382E-2</v>
      </c>
      <c r="E10" s="786">
        <f t="shared" si="2"/>
        <v>0.2718283978532664</v>
      </c>
      <c r="G10" s="787">
        <f>Invånare!B10</f>
        <v>507</v>
      </c>
      <c r="H10" s="788">
        <f t="shared" si="0"/>
        <v>6094.6745562130181</v>
      </c>
      <c r="I10" s="788">
        <f>('Skattekompl data'!F13+'Skattekompl data'!F55)/G10</f>
        <v>2356.4286968245892</v>
      </c>
      <c r="K10" s="786">
        <f>Invånare!B10/Invånare!$B$22</f>
        <v>1.6700154814058434E-2</v>
      </c>
      <c r="L10" s="786">
        <f t="shared" si="1"/>
        <v>2.0142890667779197E-2</v>
      </c>
      <c r="M10" s="786">
        <f>('Skattekompl data'!F13+'Skattekompl data'!F55)/('Skattekompl data'!$F$25+'Skattekompl data'!$F$67)</f>
        <v>1.0173852847599659E-2</v>
      </c>
      <c r="O10" s="788"/>
      <c r="R10" s="787">
        <v>3090</v>
      </c>
    </row>
    <row r="11" spans="1:18" ht="18.75" customHeight="1">
      <c r="A11" s="329" t="s">
        <v>97</v>
      </c>
      <c r="B11" s="785">
        <f>'Lsandelar totalt'!O12</f>
        <v>3326098.1272</v>
      </c>
      <c r="C11" s="330">
        <f>'Lsandelar totalt'!O12/Invånare!B11</f>
        <v>2043.0578176904178</v>
      </c>
      <c r="D11" s="786">
        <f>'Lsandelar totalt'!O12/'Lsandelar totalt'!$O$26</f>
        <v>9.0255165873816517E-2</v>
      </c>
      <c r="E11" s="786">
        <f t="shared" si="2"/>
        <v>0.36208356372708295</v>
      </c>
      <c r="G11" s="787">
        <f>Invånare!B11</f>
        <v>1628</v>
      </c>
      <c r="H11" s="788">
        <f t="shared" si="0"/>
        <v>4834.1523341523343</v>
      </c>
      <c r="I11" s="788">
        <f>('Skattekompl data'!F14+'Skattekompl data'!F56)/G11</f>
        <v>3079.6153915714631</v>
      </c>
      <c r="K11" s="786">
        <f>Invånare!B11/Invånare!$B$22</f>
        <v>5.3624954708653118E-2</v>
      </c>
      <c r="L11" s="786">
        <f t="shared" si="1"/>
        <v>5.130244322181951E-2</v>
      </c>
      <c r="M11" s="786">
        <f>('Skattekompl data'!F14+'Skattekompl data'!F56)/('Skattekompl data'!$F$25+'Skattekompl data'!$F$67)</f>
        <v>4.2694710350246724E-2</v>
      </c>
      <c r="O11" s="788"/>
      <c r="R11" s="787">
        <v>7870</v>
      </c>
    </row>
    <row r="12" spans="1:18" ht="18.75" customHeight="1">
      <c r="A12" s="329" t="s">
        <v>98</v>
      </c>
      <c r="B12" s="785">
        <f>'Lsandelar totalt'!O13</f>
        <v>5752732.5614999989</v>
      </c>
      <c r="C12" s="330">
        <f>'Lsandelar totalt'!O13/Invånare!B12</f>
        <v>1025.4425243315507</v>
      </c>
      <c r="D12" s="786">
        <f>'Lsandelar totalt'!O13/'Lsandelar totalt'!$O$26</f>
        <v>0.15610298064265954</v>
      </c>
      <c r="E12" s="786">
        <f t="shared" si="2"/>
        <v>0.51818654436974243</v>
      </c>
      <c r="G12" s="787">
        <f>Invånare!B12</f>
        <v>5610</v>
      </c>
      <c r="H12" s="788">
        <f t="shared" si="0"/>
        <v>4009.6256684491977</v>
      </c>
      <c r="I12" s="788">
        <f>('Skattekompl data'!F15+'Skattekompl data'!F57)/G12</f>
        <v>3628.8060213295121</v>
      </c>
      <c r="K12" s="786">
        <f>Invånare!B12/Invånare!$B$22</f>
        <v>0.18478869527981817</v>
      </c>
      <c r="L12" s="786">
        <f t="shared" si="1"/>
        <v>0.14663242157961984</v>
      </c>
      <c r="M12" s="786">
        <f>('Skattekompl data'!F15+'Skattekompl data'!F57)/('Skattekompl data'!$F$25+'Skattekompl data'!$F$67)</f>
        <v>0.17336036163051161</v>
      </c>
      <c r="O12" s="788"/>
      <c r="R12" s="787">
        <v>22494</v>
      </c>
    </row>
    <row r="13" spans="1:18" ht="18.75" customHeight="1">
      <c r="A13" s="329" t="s">
        <v>99</v>
      </c>
      <c r="B13" s="785">
        <f>'Lsandelar totalt'!O14</f>
        <v>920905.59350000008</v>
      </c>
      <c r="C13" s="330">
        <f>'Lsandelar totalt'!O14/Invånare!B13</f>
        <v>3009.4954035947717</v>
      </c>
      <c r="D13" s="786">
        <f>'Lsandelar totalt'!O14/'Lsandelar totalt'!$O$26</f>
        <v>2.4989186703712099E-2</v>
      </c>
      <c r="E13" s="786">
        <f t="shared" si="2"/>
        <v>0.54317573107345452</v>
      </c>
      <c r="G13" s="787">
        <f>Invånare!B13</f>
        <v>306</v>
      </c>
      <c r="H13" s="788">
        <f t="shared" si="0"/>
        <v>6179.7385620915029</v>
      </c>
      <c r="I13" s="788">
        <f>('Skattekompl data'!F16+'Skattekompl data'!F58)/G13</f>
        <v>3732.5167845900892</v>
      </c>
      <c r="K13" s="786">
        <f>Invånare!B13/Invånare!$B$22</f>
        <v>1.0079383378899173E-2</v>
      </c>
      <c r="L13" s="786">
        <f t="shared" si="1"/>
        <v>1.2326927589893354E-2</v>
      </c>
      <c r="M13" s="786">
        <f>('Skattekompl data'!F16+'Skattekompl data'!F58)/('Skattekompl data'!$F$25+'Skattekompl data'!$F$67)</f>
        <v>9.7262714327089831E-3</v>
      </c>
      <c r="O13" s="788"/>
      <c r="R13" s="787">
        <v>1891</v>
      </c>
    </row>
    <row r="14" spans="1:18" ht="18.75" customHeight="1">
      <c r="A14" s="329" t="s">
        <v>100</v>
      </c>
      <c r="B14" s="785">
        <f>'Lsandelar totalt'!O15</f>
        <v>567396.90539999993</v>
      </c>
      <c r="C14" s="330">
        <f>'Lsandelar totalt'!O15/Invånare!B14</f>
        <v>2544.3807417040357</v>
      </c>
      <c r="D14" s="786">
        <f>'Lsandelar totalt'!O15/'Lsandelar totalt'!$O$26</f>
        <v>1.5396569750717959E-2</v>
      </c>
      <c r="E14" s="786">
        <f t="shared" si="2"/>
        <v>0.55857230082417253</v>
      </c>
      <c r="G14" s="787">
        <f>Invånare!B14</f>
        <v>223</v>
      </c>
      <c r="H14" s="788">
        <f t="shared" si="0"/>
        <v>6210.7623318385649</v>
      </c>
      <c r="I14" s="788">
        <f>('Skattekompl data'!F17+'Skattekompl data'!F59)/G14</f>
        <v>3057.4226373355864</v>
      </c>
      <c r="K14" s="786">
        <f>Invånare!B14/Invånare!$B$22</f>
        <v>7.3454329852761947E-3</v>
      </c>
      <c r="L14" s="786">
        <f t="shared" si="1"/>
        <v>9.0284477588589603E-3</v>
      </c>
      <c r="M14" s="786">
        <f>('Skattekompl data'!F17+'Skattekompl data'!F59)/('Skattekompl data'!$F$25+'Skattekompl data'!$F$67)</f>
        <v>5.8060868689739148E-3</v>
      </c>
      <c r="O14" s="788"/>
      <c r="R14" s="787">
        <v>1385</v>
      </c>
    </row>
    <row r="15" spans="1:18" ht="18.75" customHeight="1">
      <c r="A15" s="329" t="s">
        <v>101</v>
      </c>
      <c r="B15" s="785">
        <f>'Lsandelar totalt'!O16</f>
        <v>3213124.2235999997</v>
      </c>
      <c r="C15" s="330">
        <f>'Lsandelar totalt'!O16/Invånare!B15</f>
        <v>1507.8011373064287</v>
      </c>
      <c r="D15" s="786">
        <f>'Lsandelar totalt'!O16/'Lsandelar totalt'!$O$26</f>
        <v>8.7189568282017793E-2</v>
      </c>
      <c r="E15" s="786">
        <f t="shared" si="2"/>
        <v>0.64576186910619038</v>
      </c>
      <c r="G15" s="787">
        <f>Invånare!B15</f>
        <v>2131</v>
      </c>
      <c r="H15" s="788">
        <f t="shared" si="0"/>
        <v>4826.8418582824961</v>
      </c>
      <c r="I15" s="788">
        <f>('Skattekompl data'!F18+'Skattekompl data'!F60)/G15</f>
        <v>3568.457895824788</v>
      </c>
      <c r="K15" s="786">
        <f>Invånare!B15/Invånare!$B$22</f>
        <v>7.0193352877235743E-2</v>
      </c>
      <c r="L15" s="786">
        <f t="shared" si="1"/>
        <v>6.7051706604782144E-2</v>
      </c>
      <c r="M15" s="786">
        <f>('Skattekompl data'!F18+'Skattekompl data'!F60)/('Skattekompl data'!$F$25+'Skattekompl data'!$F$67)</f>
        <v>6.4757073826950576E-2</v>
      </c>
      <c r="O15" s="788"/>
      <c r="R15" s="787">
        <v>10286</v>
      </c>
    </row>
    <row r="16" spans="1:18" ht="18.75" customHeight="1">
      <c r="A16" s="329" t="s">
        <v>102</v>
      </c>
      <c r="B16" s="785">
        <f>'Lsandelar totalt'!O17</f>
        <v>711870.58350000018</v>
      </c>
      <c r="C16" s="330">
        <f>'Lsandelar totalt'!O17/Invånare!B16</f>
        <v>1977.4182875000006</v>
      </c>
      <c r="D16" s="786">
        <f>'Lsandelar totalt'!O17/'Lsandelar totalt'!$O$26</f>
        <v>1.9316927864834361E-2</v>
      </c>
      <c r="E16" s="786">
        <f t="shared" si="2"/>
        <v>0.66507879697102479</v>
      </c>
      <c r="G16" s="787">
        <f>Invånare!B16</f>
        <v>360</v>
      </c>
      <c r="H16" s="788">
        <f t="shared" si="0"/>
        <v>6150</v>
      </c>
      <c r="I16" s="788">
        <f>('Skattekompl data'!F19+'Skattekompl data'!F61)/G16</f>
        <v>4200.0734411692292</v>
      </c>
      <c r="K16" s="786">
        <f>Invånare!B16/Invånare!$B$22</f>
        <v>1.1858098092822556E-2</v>
      </c>
      <c r="L16" s="786">
        <f t="shared" si="1"/>
        <v>1.4432478944486455E-2</v>
      </c>
      <c r="M16" s="786">
        <f>('Skattekompl data'!F19+'Skattekompl data'!F61)/('Skattekompl data'!$F$25+'Skattekompl data'!$F$67)</f>
        <v>1.2876047634000144E-2</v>
      </c>
      <c r="O16" s="788"/>
      <c r="R16" s="787">
        <v>2214</v>
      </c>
    </row>
    <row r="17" spans="1:18" ht="18.75" customHeight="1">
      <c r="A17" s="329" t="s">
        <v>103</v>
      </c>
      <c r="B17" s="785">
        <f>'Lsandelar totalt'!O18</f>
        <v>2737946.1934999996</v>
      </c>
      <c r="C17" s="330">
        <f>'Lsandelar totalt'!O18/Invånare!B17</f>
        <v>1527.019628276631</v>
      </c>
      <c r="D17" s="786">
        <f>'Lsandelar totalt'!O18/'Lsandelar totalt'!$O$26</f>
        <v>7.429539911257943E-2</v>
      </c>
      <c r="E17" s="786">
        <f t="shared" si="2"/>
        <v>0.73937419608360422</v>
      </c>
      <c r="G17" s="787">
        <f>Invånare!B17</f>
        <v>1793</v>
      </c>
      <c r="H17" s="788">
        <f t="shared" si="0"/>
        <v>5465.6999442275519</v>
      </c>
      <c r="I17" s="788">
        <f>('Skattekompl data'!F21+'Skattekompl data'!F63)/G17</f>
        <v>3918.6503149645409</v>
      </c>
      <c r="K17" s="786">
        <f>Invånare!B17/Invånare!$B$22</f>
        <v>5.9059916334530123E-2</v>
      </c>
      <c r="L17" s="786">
        <f t="shared" si="1"/>
        <v>6.3883601470626578E-2</v>
      </c>
      <c r="M17" s="786">
        <f>('Skattekompl data'!F21+'Skattekompl data'!F63)/('Skattekompl data'!$F$25+'Skattekompl data'!$F$67)</f>
        <v>5.9832891270991187E-2</v>
      </c>
      <c r="O17" s="788"/>
      <c r="R17" s="787">
        <v>9800</v>
      </c>
    </row>
    <row r="18" spans="1:18" ht="18.75" customHeight="1">
      <c r="A18" s="329" t="s">
        <v>104</v>
      </c>
      <c r="B18" s="785">
        <f>'Lsandelar totalt'!O19</f>
        <v>337341.03989999997</v>
      </c>
      <c r="C18" s="330">
        <f>'Lsandelar totalt'!O19/Invånare!B18</f>
        <v>3039.1084675675675</v>
      </c>
      <c r="D18" s="786">
        <f>'Lsandelar totalt'!O19/'Lsandelar totalt'!$O$26</f>
        <v>9.1539005609107445E-3</v>
      </c>
      <c r="E18" s="786">
        <f t="shared" si="2"/>
        <v>0.74852809664451492</v>
      </c>
      <c r="G18" s="787">
        <f>Invånare!B18</f>
        <v>111</v>
      </c>
      <c r="H18" s="788">
        <f t="shared" si="0"/>
        <v>5666.666666666667</v>
      </c>
      <c r="I18" s="788">
        <f>('Skattekompl data'!F22+'Skattekompl data'!F64)/G18</f>
        <v>3174.0807397922968</v>
      </c>
      <c r="K18" s="786">
        <f>Invånare!B18/Invånare!$B$22</f>
        <v>3.6562469119536217E-3</v>
      </c>
      <c r="L18" s="786">
        <f t="shared" si="1"/>
        <v>4.100284216839196E-3</v>
      </c>
      <c r="M18" s="786">
        <f>('Skattekompl data'!F22+'Skattekompl data'!F64)/('Skattekompl data'!$F$25+'Skattekompl data'!$F$67)</f>
        <v>3.0002962423774765E-3</v>
      </c>
      <c r="O18" s="788"/>
      <c r="R18" s="787">
        <v>629</v>
      </c>
    </row>
    <row r="19" spans="1:18" ht="18.75" customHeight="1">
      <c r="A19" s="329" t="s">
        <v>105</v>
      </c>
      <c r="B19" s="785">
        <f>'Lsandelar totalt'!O20</f>
        <v>2027250.8375999997</v>
      </c>
      <c r="C19" s="330">
        <f>'Lsandelar totalt'!O20/Invånare!B19</f>
        <v>2025.2256119880117</v>
      </c>
      <c r="D19" s="786">
        <f>'Lsandelar totalt'!O20/'Lsandelar totalt'!$O$26</f>
        <v>5.5010361576268485E-2</v>
      </c>
      <c r="E19" s="786">
        <f t="shared" si="2"/>
        <v>0.8035384582207834</v>
      </c>
      <c r="G19" s="787">
        <f>Invånare!B19</f>
        <v>1001</v>
      </c>
      <c r="H19" s="788">
        <f t="shared" si="0"/>
        <v>5538.4615384615381</v>
      </c>
      <c r="I19" s="788">
        <f>('Skattekompl data'!F23+'Skattekompl data'!F65)/G19</f>
        <v>3651.5576090503569</v>
      </c>
      <c r="K19" s="786">
        <f>Invånare!B19/Invånare!$B$22</f>
        <v>3.29721005303205E-2</v>
      </c>
      <c r="L19" s="786">
        <f t="shared" si="1"/>
        <v>3.6139865974811607E-2</v>
      </c>
      <c r="M19" s="786">
        <f>('Skattekompl data'!F23+'Skattekompl data'!F65)/('Skattekompl data'!$F$25+'Skattekompl data'!$F$67)</f>
        <v>3.1126867979135001E-2</v>
      </c>
      <c r="O19" s="788"/>
      <c r="R19" s="787">
        <v>5544</v>
      </c>
    </row>
    <row r="20" spans="1:18" ht="18.75" customHeight="1">
      <c r="A20" s="329" t="s">
        <v>106</v>
      </c>
      <c r="B20" s="785">
        <f>'Lsandelar totalt'!O21</f>
        <v>1572989.7364000001</v>
      </c>
      <c r="C20" s="330">
        <f>'Lsandelar totalt'!O21/Invånare!B20</f>
        <v>3487.7821206208428</v>
      </c>
      <c r="D20" s="786">
        <f>'Lsandelar totalt'!O21/'Lsandelar totalt'!$O$26</f>
        <v>4.2683782662812635E-2</v>
      </c>
      <c r="E20" s="786">
        <f t="shared" si="2"/>
        <v>0.84622224088359599</v>
      </c>
      <c r="G20" s="787">
        <f>Invånare!B20</f>
        <v>451</v>
      </c>
      <c r="H20" s="788">
        <f t="shared" si="0"/>
        <v>6401.3303769401327</v>
      </c>
      <c r="I20" s="788">
        <f>('Skattekompl data'!F24+'Skattekompl data'!F66)/G20</f>
        <v>3184.674226971521</v>
      </c>
      <c r="K20" s="786">
        <f>Invånare!B20/Invånare!$B$22</f>
        <v>1.4855561777397148E-2</v>
      </c>
      <c r="L20" s="786">
        <f t="shared" si="1"/>
        <v>1.8819587494459077E-2</v>
      </c>
      <c r="M20" s="786">
        <f>('Skattekompl data'!F24+'Skattekompl data'!F66)/('Skattekompl data'!$F$25+'Skattekompl data'!$F$67)</f>
        <v>1.2231078248759126E-2</v>
      </c>
      <c r="O20" s="788"/>
      <c r="R20" s="787">
        <v>2887</v>
      </c>
    </row>
    <row r="21" spans="1:18" ht="18.75" customHeight="1" thickBot="1">
      <c r="A21" s="340" t="s">
        <v>107</v>
      </c>
      <c r="B21" s="789">
        <f>'Lsandelar totalt'!O22</f>
        <v>5667043.1177000003</v>
      </c>
      <c r="C21" s="341">
        <f>'Lsandelar totalt'!O22/Invånare!B21</f>
        <v>482.01438442629927</v>
      </c>
      <c r="D21" s="790">
        <f>'Lsandelar totalt'!O22/'Lsandelar totalt'!$O$26</f>
        <v>0.15377775911640393</v>
      </c>
      <c r="E21" s="790">
        <f t="shared" si="2"/>
        <v>0.99999999999999989</v>
      </c>
      <c r="G21" s="341">
        <f>Invånare!B21</f>
        <v>11757</v>
      </c>
      <c r="H21" s="341">
        <f t="shared" si="0"/>
        <v>5076.3800289189421</v>
      </c>
      <c r="I21" s="432">
        <f>('Skattekompl data'!F20+'Skattekompl data'!F62)/G21</f>
        <v>4284.3042291505317</v>
      </c>
      <c r="K21" s="431">
        <f>Invånare!B21/Invånare!$B$22</f>
        <v>0.38726572021476335</v>
      </c>
      <c r="L21" s="431">
        <f t="shared" si="1"/>
        <v>0.38905765169095979</v>
      </c>
      <c r="M21" s="431">
        <f>('Skattekompl data'!F20+'Skattekompl data'!F62)/('Skattekompl data'!$F$25+'Skattekompl data'!$F$67)</f>
        <v>0.42894342013417613</v>
      </c>
      <c r="O21" s="341"/>
      <c r="R21" s="341">
        <v>59683</v>
      </c>
    </row>
    <row r="22" spans="1:18" ht="18.75" customHeight="1">
      <c r="A22" s="337" t="s">
        <v>108</v>
      </c>
      <c r="B22" s="331">
        <f>SUM(B6:B21)</f>
        <v>36852163.4745</v>
      </c>
      <c r="C22" s="338">
        <f>B22/G22</f>
        <v>1213.8793594815377</v>
      </c>
      <c r="D22" s="339">
        <f>('Lsandelar totalt'!O26-'Lsandelar totalt'!M25)/('Lsandelar totalt'!$O$26-'Lsandelar totalt'!M25)</f>
        <v>1</v>
      </c>
      <c r="E22" s="339"/>
      <c r="G22" s="787">
        <f>Invånare!B22</f>
        <v>30359</v>
      </c>
      <c r="H22" s="788">
        <f t="shared" si="0"/>
        <v>5052.9991106426432</v>
      </c>
      <c r="I22" s="788">
        <f>('Skattekompl data'!F67+'Skattekompl data'!F25)/G22</f>
        <v>3868.0256766781508</v>
      </c>
      <c r="K22" s="433">
        <f>SUM(K6:K21)</f>
        <v>1</v>
      </c>
      <c r="L22" s="433">
        <f t="shared" ref="L22:M22" si="3">SUM(L6:L21)</f>
        <v>1</v>
      </c>
      <c r="M22" s="433">
        <f t="shared" si="3"/>
        <v>1.0000000000000002</v>
      </c>
      <c r="O22" s="788"/>
      <c r="R22" s="787">
        <v>153404</v>
      </c>
    </row>
    <row r="23" spans="1:18">
      <c r="R23" s="427" t="s">
        <v>228</v>
      </c>
    </row>
    <row r="25" spans="1:18">
      <c r="B25" s="2"/>
    </row>
    <row r="28" spans="1:18" ht="15.75">
      <c r="B28" s="430"/>
      <c r="C28" s="430"/>
      <c r="D28" s="430"/>
      <c r="E28" s="430"/>
      <c r="F28" s="430"/>
      <c r="G28" s="430"/>
      <c r="H28" s="430"/>
      <c r="I28" s="430"/>
      <c r="J28" s="430"/>
      <c r="K28" s="430"/>
      <c r="L28" s="430"/>
      <c r="M28" s="430"/>
      <c r="N28" s="430"/>
      <c r="O28" s="430"/>
      <c r="P28" s="430"/>
      <c r="Q28" s="430"/>
      <c r="R28" s="430"/>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D29"/>
  <sheetViews>
    <sheetView zoomScaleNormal="100" workbookViewId="0">
      <pane xSplit="1" ySplit="6" topLeftCell="G7" activePane="bottomRight" state="frozen"/>
      <selection pane="topRight" activeCell="B1" sqref="B1"/>
      <selection pane="bottomLeft" activeCell="A7" sqref="A7"/>
      <selection pane="bottomRight" activeCell="AB17" sqref="AB17"/>
    </sheetView>
  </sheetViews>
  <sheetFormatPr defaultRowHeight="15" outlineLevelCol="1"/>
  <cols>
    <col min="1" max="1" width="12.21875" customWidth="1"/>
    <col min="2" max="2" width="9.44140625" customWidth="1"/>
    <col min="3" max="3" width="9.44140625" hidden="1" customWidth="1" outlineLevel="1"/>
    <col min="4" max="4" width="10.21875" customWidth="1" collapsed="1"/>
    <col min="5" max="5" width="9.44140625" customWidth="1"/>
    <col min="6" max="6" width="9.44140625" hidden="1" customWidth="1" outlineLevel="1"/>
    <col min="7" max="7" width="9.44140625" customWidth="1" collapsed="1"/>
    <col min="8" max="8" width="9.44140625" customWidth="1"/>
    <col min="9" max="9" width="9.44140625" hidden="1" customWidth="1" outlineLevel="1"/>
    <col min="10" max="10" width="9.88671875" bestFit="1" customWidth="1" collapsed="1"/>
    <col min="11" max="11" width="9.44140625" customWidth="1"/>
    <col min="12" max="12" width="9.44140625" hidden="1" customWidth="1" outlineLevel="1"/>
    <col min="13" max="13" width="9.44140625" customWidth="1" collapsed="1"/>
    <col min="14" max="14" width="9.44140625" customWidth="1"/>
    <col min="15" max="15" width="9.44140625" hidden="1" customWidth="1" outlineLevel="1"/>
    <col min="16" max="16" width="9.44140625" customWidth="1" collapsed="1"/>
    <col min="17" max="17" width="9.44140625" customWidth="1"/>
    <col min="18" max="18" width="9.44140625" hidden="1" customWidth="1" outlineLevel="1"/>
    <col min="19" max="19" width="9.44140625" customWidth="1" collapsed="1"/>
    <col min="20" max="20" width="9.44140625" customWidth="1"/>
    <col min="21" max="21" width="9.44140625" customWidth="1" outlineLevel="1"/>
    <col min="22" max="22" width="9.44140625" customWidth="1"/>
    <col min="23" max="23" width="12.109375" customWidth="1"/>
    <col min="24" max="24" width="12.33203125" hidden="1" customWidth="1" outlineLevel="1"/>
    <col min="25" max="25" width="9.44140625" customWidth="1" collapsed="1"/>
    <col min="26" max="26" width="9.44140625" customWidth="1"/>
    <col min="27" max="27" width="9.109375" customWidth="1" outlineLevel="1"/>
    <col min="29" max="29" width="0.5546875" customWidth="1"/>
  </cols>
  <sheetData>
    <row r="1" spans="1:30" ht="15.75" hidden="1">
      <c r="A1" s="11" t="s">
        <v>229</v>
      </c>
    </row>
    <row r="2" spans="1:30" hidden="1"/>
    <row r="3" spans="1:30" ht="15.75" hidden="1">
      <c r="A3" s="82" t="e">
        <f>#REF!</f>
        <v>#REF!</v>
      </c>
    </row>
    <row r="4" spans="1:30" ht="15.75" hidden="1">
      <c r="A4" s="83"/>
    </row>
    <row r="5" spans="1:30" ht="15.75" hidden="1">
      <c r="A5" s="255"/>
      <c r="B5" s="842" t="s">
        <v>230</v>
      </c>
      <c r="C5" s="843"/>
      <c r="D5" s="843"/>
      <c r="E5" s="843"/>
      <c r="F5" s="843"/>
      <c r="G5" s="843"/>
      <c r="H5" s="843"/>
      <c r="I5" s="843"/>
      <c r="J5" s="843"/>
      <c r="K5" s="843"/>
      <c r="L5" s="843"/>
      <c r="M5" s="843"/>
      <c r="N5" s="843"/>
      <c r="O5" s="843"/>
      <c r="P5" s="843"/>
      <c r="Q5" s="843"/>
      <c r="R5" s="843"/>
      <c r="S5" s="843"/>
      <c r="T5" s="843"/>
      <c r="U5" s="843"/>
      <c r="V5" s="843"/>
      <c r="W5" s="843"/>
      <c r="X5" s="843"/>
      <c r="Y5" s="843"/>
      <c r="Z5" s="843"/>
      <c r="AA5" s="843"/>
      <c r="AB5" s="843"/>
      <c r="AC5" s="274"/>
    </row>
    <row r="6" spans="1:30" ht="60">
      <c r="A6" s="791"/>
      <c r="B6" s="256" t="s">
        <v>231</v>
      </c>
      <c r="C6" s="92" t="s">
        <v>232</v>
      </c>
      <c r="D6" s="257" t="s">
        <v>233</v>
      </c>
      <c r="E6" s="92" t="s">
        <v>234</v>
      </c>
      <c r="F6" s="92" t="s">
        <v>235</v>
      </c>
      <c r="G6" s="257" t="s">
        <v>233</v>
      </c>
      <c r="H6" s="92" t="s">
        <v>236</v>
      </c>
      <c r="I6" s="92" t="s">
        <v>237</v>
      </c>
      <c r="J6" s="257" t="s">
        <v>233</v>
      </c>
      <c r="K6" s="92" t="s">
        <v>238</v>
      </c>
      <c r="L6" s="92" t="s">
        <v>239</v>
      </c>
      <c r="M6" s="257" t="s">
        <v>233</v>
      </c>
      <c r="N6" s="92" t="s">
        <v>240</v>
      </c>
      <c r="O6" s="92" t="s">
        <v>241</v>
      </c>
      <c r="P6" s="257" t="s">
        <v>233</v>
      </c>
      <c r="Q6" s="92" t="s">
        <v>242</v>
      </c>
      <c r="R6" s="92" t="s">
        <v>243</v>
      </c>
      <c r="S6" s="257" t="s">
        <v>233</v>
      </c>
      <c r="T6" s="92" t="s">
        <v>244</v>
      </c>
      <c r="U6" s="92" t="s">
        <v>245</v>
      </c>
      <c r="V6" s="257" t="s">
        <v>233</v>
      </c>
      <c r="W6" s="256" t="s">
        <v>246</v>
      </c>
      <c r="X6" s="92" t="s">
        <v>247</v>
      </c>
      <c r="Y6" s="257" t="s">
        <v>233</v>
      </c>
      <c r="Z6" s="92" t="s">
        <v>248</v>
      </c>
      <c r="AA6" s="92" t="s">
        <v>249</v>
      </c>
      <c r="AB6" s="92" t="s">
        <v>233</v>
      </c>
      <c r="AC6" s="275"/>
      <c r="AD6" s="770"/>
    </row>
    <row r="7" spans="1:30" ht="15.75">
      <c r="A7" s="6" t="s">
        <v>92</v>
      </c>
      <c r="B7" s="333">
        <f>'Lsandelar totalt'!B7</f>
        <v>0</v>
      </c>
      <c r="C7" s="26">
        <v>338925.16</v>
      </c>
      <c r="D7" s="792">
        <f>(B7-C7)/C7</f>
        <v>-1</v>
      </c>
      <c r="E7" s="326">
        <f>'Lsandelar totalt'!C7</f>
        <v>399778.16</v>
      </c>
      <c r="F7" s="793">
        <v>376210.15769999998</v>
      </c>
      <c r="G7" s="792">
        <f>(E7-F7)/F7</f>
        <v>6.2645842536749763E-2</v>
      </c>
      <c r="H7" s="326">
        <f>'Lsandelar totalt'!E7</f>
        <v>0</v>
      </c>
      <c r="I7" s="26">
        <v>0</v>
      </c>
      <c r="J7" s="792" t="e">
        <f>(H7-I7)/I7</f>
        <v>#DIV/0!</v>
      </c>
      <c r="K7" s="326">
        <f>'Lsandelar totalt'!H7</f>
        <v>244710.87</v>
      </c>
      <c r="L7" s="26" t="e">
        <f>'Lsandelar totalt'!#REF!</f>
        <v>#REF!</v>
      </c>
      <c r="M7" s="792" t="e">
        <f>(K7-L7)/L7</f>
        <v>#REF!</v>
      </c>
      <c r="N7" s="326">
        <f>'Lsandelar totalt'!J7</f>
        <v>7706.7</v>
      </c>
      <c r="O7" s="26">
        <v>6815.26</v>
      </c>
      <c r="P7" s="792">
        <f>(N7-O7)/O7</f>
        <v>0.13080058574434425</v>
      </c>
      <c r="Q7" s="326">
        <f>'Lsandelar totalt'!K7</f>
        <v>0</v>
      </c>
      <c r="R7" s="26">
        <v>0</v>
      </c>
      <c r="S7" s="794"/>
      <c r="T7" s="775">
        <f>B7+E7+H7+K7+N7+Q7</f>
        <v>652195.73</v>
      </c>
      <c r="U7" s="775" t="e">
        <f>C7+F7+I7+L7+O7+R7</f>
        <v>#REF!</v>
      </c>
      <c r="V7" s="795" t="e">
        <f>(T7-U7)/U7</f>
        <v>#REF!</v>
      </c>
      <c r="W7" s="776">
        <f>'Lsandelar totalt'!N7</f>
        <v>0</v>
      </c>
      <c r="X7" s="26">
        <v>-62945.41</v>
      </c>
      <c r="Y7" s="794">
        <f>(W7-X7)/X7</f>
        <v>-1</v>
      </c>
      <c r="Z7" s="778">
        <f>T7+W7</f>
        <v>652195.73</v>
      </c>
      <c r="AA7" s="778" t="e">
        <f>U7+X7</f>
        <v>#REF!</v>
      </c>
      <c r="AB7" s="796" t="e">
        <f>(Z7-AA7)/AA7</f>
        <v>#REF!</v>
      </c>
      <c r="AC7" s="797"/>
      <c r="AD7" s="770"/>
    </row>
    <row r="8" spans="1:30" ht="15.75">
      <c r="A8" s="6" t="s">
        <v>93</v>
      </c>
      <c r="B8" s="333">
        <f>'Lsandelar totalt'!B8</f>
        <v>1195978.18</v>
      </c>
      <c r="C8" s="26">
        <v>1193132.22</v>
      </c>
      <c r="D8" s="792">
        <f t="shared" ref="D8:D24" si="0">(B8-C8)/C8</f>
        <v>2.3852846753228763E-3</v>
      </c>
      <c r="E8" s="326">
        <f>'Lsandelar totalt'!C8</f>
        <v>382394.1</v>
      </c>
      <c r="F8" s="793">
        <v>324443.98999999993</v>
      </c>
      <c r="G8" s="792">
        <f t="shared" ref="G8:G22" si="1">(E8-F8)/F8</f>
        <v>0.17861360292110837</v>
      </c>
      <c r="H8" s="326">
        <f>'Lsandelar totalt'!E8</f>
        <v>79569.62</v>
      </c>
      <c r="I8" s="26">
        <v>77124.72</v>
      </c>
      <c r="J8" s="792">
        <f t="shared" ref="J8:J22" si="2">(H8-I8)/I8</f>
        <v>3.1700601311745367E-2</v>
      </c>
      <c r="K8" s="326">
        <f>'Lsandelar totalt'!H8</f>
        <v>180158.98</v>
      </c>
      <c r="L8" s="26" t="e">
        <f>'Lsandelar totalt'!#REF!</f>
        <v>#REF!</v>
      </c>
      <c r="M8" s="792" t="e">
        <f t="shared" ref="M8:M24" si="3">(K8-L8)/L8</f>
        <v>#REF!</v>
      </c>
      <c r="N8" s="326">
        <f>'Lsandelar totalt'!J8</f>
        <v>16081.31</v>
      </c>
      <c r="O8" s="26">
        <v>14293.94</v>
      </c>
      <c r="P8" s="792">
        <f t="shared" ref="P8:P24" si="4">(N8-O8)/O8</f>
        <v>0.12504389972253968</v>
      </c>
      <c r="Q8" s="326">
        <f>'Lsandelar totalt'!K8</f>
        <v>0</v>
      </c>
      <c r="R8" s="26">
        <v>0</v>
      </c>
      <c r="S8" s="798"/>
      <c r="T8" s="775">
        <f>B8+E8+H8+K8+N8+Q8</f>
        <v>1854182.19</v>
      </c>
      <c r="U8" s="775" t="e">
        <f t="shared" ref="U8:U22" si="5">C8+F8+I8+L8+O8+R8</f>
        <v>#REF!</v>
      </c>
      <c r="V8" s="795" t="e">
        <f t="shared" ref="V8:V23" si="6">(T8-U8)/U8</f>
        <v>#REF!</v>
      </c>
      <c r="W8" s="776">
        <f>'Lsandelar totalt'!N8</f>
        <v>0</v>
      </c>
      <c r="X8" s="26">
        <v>-148019.88</v>
      </c>
      <c r="Y8" s="794">
        <f t="shared" ref="Y8:Y22" si="7">(W8-X8)/X8</f>
        <v>-1</v>
      </c>
      <c r="Z8" s="778">
        <f t="shared" ref="Z8:Z22" si="8">T8+W8</f>
        <v>1854182.19</v>
      </c>
      <c r="AA8" s="778" t="e">
        <f t="shared" ref="AA8:AA22" si="9">U8+X8</f>
        <v>#REF!</v>
      </c>
      <c r="AB8" s="796" t="e">
        <f t="shared" ref="AB8:AB24" si="10">(Z8-AA8)/AA8</f>
        <v>#REF!</v>
      </c>
      <c r="AC8" s="797"/>
      <c r="AD8" s="770"/>
    </row>
    <row r="9" spans="1:30" ht="15.75">
      <c r="A9" s="6" t="s">
        <v>94</v>
      </c>
      <c r="B9" s="333">
        <f>'Lsandelar totalt'!B9</f>
        <v>2688092.09</v>
      </c>
      <c r="C9" s="26">
        <v>2361646.0699999998</v>
      </c>
      <c r="D9" s="792">
        <f t="shared" si="0"/>
        <v>0.1382281723526845</v>
      </c>
      <c r="E9" s="326">
        <f>'Lsandelar totalt'!C9</f>
        <v>478665.52</v>
      </c>
      <c r="F9" s="793">
        <v>411638.30599999998</v>
      </c>
      <c r="G9" s="792">
        <f t="shared" si="1"/>
        <v>0.16283036107917526</v>
      </c>
      <c r="H9" s="326">
        <f>'Lsandelar totalt'!E9</f>
        <v>33154.01</v>
      </c>
      <c r="I9" s="26">
        <v>38562.36</v>
      </c>
      <c r="J9" s="792">
        <f t="shared" si="2"/>
        <v>-0.14024945568684069</v>
      </c>
      <c r="K9" s="326">
        <f>'Lsandelar totalt'!H9</f>
        <v>360121.75</v>
      </c>
      <c r="L9" s="26" t="e">
        <f>'Lsandelar totalt'!#REF!</f>
        <v>#REF!</v>
      </c>
      <c r="M9" s="792" t="e">
        <f t="shared" si="3"/>
        <v>#REF!</v>
      </c>
      <c r="N9" s="326">
        <f>'Lsandelar totalt'!J9</f>
        <v>44322.09</v>
      </c>
      <c r="O9" s="26">
        <v>38901.24</v>
      </c>
      <c r="P9" s="792">
        <f t="shared" si="4"/>
        <v>0.13934902846284589</v>
      </c>
      <c r="Q9" s="326">
        <f>'Lsandelar totalt'!K9</f>
        <v>0</v>
      </c>
      <c r="R9" s="26">
        <v>0</v>
      </c>
      <c r="S9" s="798"/>
      <c r="T9" s="775">
        <f t="shared" ref="T9:T22" si="11">B9+E9+H9+K9+N9+Q9</f>
        <v>3604355.4599999995</v>
      </c>
      <c r="U9" s="775" t="e">
        <f t="shared" si="5"/>
        <v>#REF!</v>
      </c>
      <c r="V9" s="795" t="e">
        <f t="shared" si="6"/>
        <v>#REF!</v>
      </c>
      <c r="W9" s="776">
        <f>'Lsandelar totalt'!N9</f>
        <v>0</v>
      </c>
      <c r="X9" s="26">
        <v>-367323.1</v>
      </c>
      <c r="Y9" s="794">
        <f t="shared" si="7"/>
        <v>-1</v>
      </c>
      <c r="Z9" s="778">
        <f t="shared" si="8"/>
        <v>3604355.4599999995</v>
      </c>
      <c r="AA9" s="778" t="e">
        <f t="shared" si="9"/>
        <v>#REF!</v>
      </c>
      <c r="AB9" s="796" t="e">
        <f t="shared" si="10"/>
        <v>#REF!</v>
      </c>
      <c r="AC9" s="797"/>
      <c r="AD9" s="770"/>
    </row>
    <row r="10" spans="1:30" ht="15.75">
      <c r="A10" s="6" t="s">
        <v>95</v>
      </c>
      <c r="B10" s="333">
        <f>'Lsandelar totalt'!B10</f>
        <v>500192.63</v>
      </c>
      <c r="C10" s="26">
        <v>473996.17</v>
      </c>
      <c r="D10" s="792">
        <f t="shared" si="0"/>
        <v>5.5267239817570722E-2</v>
      </c>
      <c r="E10" s="326">
        <f>'Lsandelar totalt'!C10</f>
        <v>467783.61</v>
      </c>
      <c r="F10" s="793">
        <v>360086.45200000005</v>
      </c>
      <c r="G10" s="792">
        <f t="shared" si="1"/>
        <v>0.29908694815321718</v>
      </c>
      <c r="H10" s="326">
        <f>'Lsandelar totalt'!E10</f>
        <v>39784.81</v>
      </c>
      <c r="I10" s="26">
        <v>38562.36</v>
      </c>
      <c r="J10" s="792">
        <f t="shared" si="2"/>
        <v>3.1700601311745367E-2</v>
      </c>
      <c r="K10" s="326">
        <f>'Lsandelar totalt'!H10</f>
        <v>265814.64</v>
      </c>
      <c r="L10" s="26" t="e">
        <f>'Lsandelar totalt'!#REF!</f>
        <v>#REF!</v>
      </c>
      <c r="M10" s="792" t="e">
        <f t="shared" si="3"/>
        <v>#REF!</v>
      </c>
      <c r="N10" s="326">
        <f>'Lsandelar totalt'!J10</f>
        <v>8631.5</v>
      </c>
      <c r="O10" s="26">
        <v>8021.5</v>
      </c>
      <c r="P10" s="792">
        <f t="shared" si="4"/>
        <v>7.6045627376425853E-2</v>
      </c>
      <c r="Q10" s="326">
        <f>'Lsandelar totalt'!K10</f>
        <v>0</v>
      </c>
      <c r="R10" s="26">
        <v>0</v>
      </c>
      <c r="S10" s="798"/>
      <c r="T10" s="775">
        <f t="shared" si="11"/>
        <v>1282207.19</v>
      </c>
      <c r="U10" s="775" t="e">
        <f t="shared" si="5"/>
        <v>#REF!</v>
      </c>
      <c r="V10" s="795" t="e">
        <f t="shared" si="6"/>
        <v>#REF!</v>
      </c>
      <c r="W10" s="776">
        <f>'Lsandelar totalt'!N10</f>
        <v>0</v>
      </c>
      <c r="X10" s="26">
        <v>100207.3</v>
      </c>
      <c r="Y10" s="794">
        <f t="shared" si="7"/>
        <v>-1</v>
      </c>
      <c r="Z10" s="778">
        <f t="shared" si="8"/>
        <v>1282207.19</v>
      </c>
      <c r="AA10" s="778" t="e">
        <f t="shared" si="9"/>
        <v>#REF!</v>
      </c>
      <c r="AB10" s="796" t="e">
        <f t="shared" si="10"/>
        <v>#REF!</v>
      </c>
      <c r="AC10" s="797"/>
      <c r="AD10" s="770"/>
    </row>
    <row r="11" spans="1:30" ht="15.75">
      <c r="A11" s="6" t="s">
        <v>96</v>
      </c>
      <c r="B11" s="333">
        <f>'Lsandelar totalt'!B11</f>
        <v>1027634.86</v>
      </c>
      <c r="C11" s="26">
        <v>856941.64</v>
      </c>
      <c r="D11" s="792">
        <f t="shared" si="0"/>
        <v>0.19918885024655819</v>
      </c>
      <c r="E11" s="326">
        <f>'Lsandelar totalt'!C11</f>
        <v>298913.73</v>
      </c>
      <c r="F11" s="793">
        <v>263726.59999999998</v>
      </c>
      <c r="G11" s="792">
        <f t="shared" si="1"/>
        <v>0.13342275674884524</v>
      </c>
      <c r="H11" s="326">
        <f>'Lsandelar totalt'!E11</f>
        <v>62992.62</v>
      </c>
      <c r="I11" s="26">
        <v>38562.36</v>
      </c>
      <c r="J11" s="792">
        <f t="shared" si="2"/>
        <v>0.6335260601270255</v>
      </c>
      <c r="K11" s="326">
        <f>'Lsandelar totalt'!H11</f>
        <v>96133.34</v>
      </c>
      <c r="L11" s="26" t="e">
        <f>'Lsandelar totalt'!#REF!</f>
        <v>#REF!</v>
      </c>
      <c r="M11" s="792" t="e">
        <f t="shared" si="3"/>
        <v>#REF!</v>
      </c>
      <c r="N11" s="326">
        <f>'Lsandelar totalt'!J11</f>
        <v>8682.8799999999992</v>
      </c>
      <c r="O11" s="26">
        <v>7463.61</v>
      </c>
      <c r="P11" s="792">
        <f t="shared" si="4"/>
        <v>0.1633619655903778</v>
      </c>
      <c r="Q11" s="326">
        <f>'Lsandelar totalt'!K11</f>
        <v>0</v>
      </c>
      <c r="R11" s="26">
        <v>0</v>
      </c>
      <c r="S11" s="798"/>
      <c r="T11" s="775">
        <f t="shared" si="11"/>
        <v>1494357.43</v>
      </c>
      <c r="U11" s="775" t="e">
        <f t="shared" si="5"/>
        <v>#REF!</v>
      </c>
      <c r="V11" s="795" t="e">
        <f t="shared" si="6"/>
        <v>#REF!</v>
      </c>
      <c r="W11" s="776">
        <f>'Lsandelar totalt'!N11</f>
        <v>0</v>
      </c>
      <c r="X11" s="26">
        <v>90561.66</v>
      </c>
      <c r="Y11" s="794">
        <f t="shared" si="7"/>
        <v>-1</v>
      </c>
      <c r="Z11" s="778">
        <f t="shared" si="8"/>
        <v>1494357.43</v>
      </c>
      <c r="AA11" s="778" t="e">
        <f t="shared" si="9"/>
        <v>#REF!</v>
      </c>
      <c r="AB11" s="796" t="e">
        <f t="shared" si="10"/>
        <v>#REF!</v>
      </c>
      <c r="AC11" s="797"/>
      <c r="AD11" s="770"/>
    </row>
    <row r="12" spans="1:30" ht="15.75">
      <c r="A12" s="6" t="s">
        <v>97</v>
      </c>
      <c r="B12" s="333">
        <f>'Lsandelar totalt'!B12</f>
        <v>2290742.88</v>
      </c>
      <c r="C12" s="26">
        <v>1800773.73</v>
      </c>
      <c r="D12" s="792">
        <f t="shared" si="0"/>
        <v>0.27208812625226375</v>
      </c>
      <c r="E12" s="326">
        <f>'Lsandelar totalt'!C12</f>
        <v>434905.86</v>
      </c>
      <c r="F12" s="793">
        <v>376586.78399999993</v>
      </c>
      <c r="G12" s="792">
        <f t="shared" si="1"/>
        <v>0.15486224816641486</v>
      </c>
      <c r="H12" s="326">
        <f>'Lsandelar totalt'!E12</f>
        <v>16577</v>
      </c>
      <c r="I12" s="26">
        <v>93192.37</v>
      </c>
      <c r="J12" s="792">
        <f t="shared" si="2"/>
        <v>-0.82212063069111774</v>
      </c>
      <c r="K12" s="326">
        <f>'Lsandelar totalt'!H12</f>
        <v>246272.98</v>
      </c>
      <c r="L12" s="26" t="e">
        <f>'Lsandelar totalt'!#REF!</f>
        <v>#REF!</v>
      </c>
      <c r="M12" s="792" t="e">
        <f t="shared" si="3"/>
        <v>#REF!</v>
      </c>
      <c r="N12" s="326">
        <f>'Lsandelar totalt'!J12</f>
        <v>27881.13</v>
      </c>
      <c r="O12" s="26">
        <v>23325.67</v>
      </c>
      <c r="P12" s="792">
        <f t="shared" si="4"/>
        <v>0.19529814148961222</v>
      </c>
      <c r="Q12" s="326">
        <f>'Lsandelar totalt'!K12</f>
        <v>0</v>
      </c>
      <c r="R12" s="26">
        <v>0</v>
      </c>
      <c r="S12" s="798"/>
      <c r="T12" s="775">
        <f t="shared" si="11"/>
        <v>3016379.8499999996</v>
      </c>
      <c r="U12" s="775" t="e">
        <f t="shared" si="5"/>
        <v>#REF!</v>
      </c>
      <c r="V12" s="795" t="e">
        <f t="shared" si="6"/>
        <v>#REF!</v>
      </c>
      <c r="W12" s="776">
        <f>'Lsandelar totalt'!N12</f>
        <v>0</v>
      </c>
      <c r="X12" s="26">
        <v>-150369.49</v>
      </c>
      <c r="Y12" s="794">
        <f t="shared" si="7"/>
        <v>-1</v>
      </c>
      <c r="Z12" s="778">
        <f t="shared" si="8"/>
        <v>3016379.8499999996</v>
      </c>
      <c r="AA12" s="778" t="e">
        <f t="shared" si="9"/>
        <v>#REF!</v>
      </c>
      <c r="AB12" s="796" t="e">
        <f t="shared" si="10"/>
        <v>#REF!</v>
      </c>
      <c r="AC12" s="797"/>
      <c r="AD12" s="770"/>
    </row>
    <row r="13" spans="1:30" ht="15.75">
      <c r="A13" s="6" t="s">
        <v>98</v>
      </c>
      <c r="B13" s="333">
        <f>'Lsandelar totalt'!B13</f>
        <v>2764995.3</v>
      </c>
      <c r="C13" s="26">
        <v>1851829.1</v>
      </c>
      <c r="D13" s="792">
        <f t="shared" si="0"/>
        <v>0.4931158064207975</v>
      </c>
      <c r="E13" s="326">
        <f>'Lsandelar totalt'!C13</f>
        <v>631487.73</v>
      </c>
      <c r="F13" s="793">
        <v>522876.19399999996</v>
      </c>
      <c r="G13" s="792">
        <f t="shared" si="1"/>
        <v>0.20771941282911041</v>
      </c>
      <c r="H13" s="326">
        <f>'Lsandelar totalt'!E13</f>
        <v>391217.3</v>
      </c>
      <c r="I13" s="26">
        <v>147822.38</v>
      </c>
      <c r="J13" s="792">
        <f t="shared" si="2"/>
        <v>1.646536336378835</v>
      </c>
      <c r="K13" s="326">
        <f>'Lsandelar totalt'!H13</f>
        <v>495851.06</v>
      </c>
      <c r="L13" s="26" t="e">
        <f>'Lsandelar totalt'!#REF!</f>
        <v>#REF!</v>
      </c>
      <c r="M13" s="792" t="e">
        <f t="shared" si="3"/>
        <v>#REF!</v>
      </c>
      <c r="N13" s="326">
        <f>'Lsandelar totalt'!J13</f>
        <v>96076.86</v>
      </c>
      <c r="O13" s="26">
        <v>73264</v>
      </c>
      <c r="P13" s="792">
        <f t="shared" si="4"/>
        <v>0.31137884909368857</v>
      </c>
      <c r="Q13" s="326">
        <f>'Lsandelar totalt'!K13</f>
        <v>0</v>
      </c>
      <c r="R13" s="26">
        <v>0</v>
      </c>
      <c r="S13" s="798"/>
      <c r="T13" s="775">
        <f t="shared" si="11"/>
        <v>4379628.25</v>
      </c>
      <c r="U13" s="775" t="e">
        <f t="shared" si="5"/>
        <v>#REF!</v>
      </c>
      <c r="V13" s="795" t="e">
        <f t="shared" si="6"/>
        <v>#REF!</v>
      </c>
      <c r="W13" s="776">
        <f>'Lsandelar totalt'!N13</f>
        <v>0</v>
      </c>
      <c r="X13" s="26">
        <v>221390.47</v>
      </c>
      <c r="Y13" s="794">
        <f t="shared" si="7"/>
        <v>-1</v>
      </c>
      <c r="Z13" s="778">
        <f t="shared" si="8"/>
        <v>4379628.25</v>
      </c>
      <c r="AA13" s="778" t="e">
        <f t="shared" si="9"/>
        <v>#REF!</v>
      </c>
      <c r="AB13" s="796" t="e">
        <f t="shared" si="10"/>
        <v>#REF!</v>
      </c>
      <c r="AC13" s="797"/>
      <c r="AD13" s="770"/>
    </row>
    <row r="14" spans="1:30" ht="15.75">
      <c r="A14" s="6" t="s">
        <v>99</v>
      </c>
      <c r="B14" s="333">
        <f>'Lsandelar totalt'!B14</f>
        <v>294027.71000000002</v>
      </c>
      <c r="C14" s="26">
        <v>325362.39</v>
      </c>
      <c r="D14" s="792">
        <f t="shared" si="0"/>
        <v>-9.6307013235303537E-2</v>
      </c>
      <c r="E14" s="326">
        <f>'Lsandelar totalt'!C14</f>
        <v>223405.44</v>
      </c>
      <c r="F14" s="793">
        <v>244028.21040000001</v>
      </c>
      <c r="G14" s="792">
        <f t="shared" si="1"/>
        <v>-8.4509780103685941E-2</v>
      </c>
      <c r="H14" s="326">
        <f>'Lsandelar totalt'!E14</f>
        <v>0</v>
      </c>
      <c r="I14" s="26">
        <v>0</v>
      </c>
      <c r="J14" s="792" t="e">
        <f t="shared" si="2"/>
        <v>#DIV/0!</v>
      </c>
      <c r="K14" s="326">
        <f>'Lsandelar totalt'!H14</f>
        <v>257950.14</v>
      </c>
      <c r="L14" s="26" t="e">
        <f>'Lsandelar totalt'!#REF!</f>
        <v>#REF!</v>
      </c>
      <c r="M14" s="792" t="e">
        <f t="shared" si="3"/>
        <v>#REF!</v>
      </c>
      <c r="N14" s="326">
        <f>'Lsandelar totalt'!J14</f>
        <v>5240.5600000000004</v>
      </c>
      <c r="O14" s="26">
        <v>4734.49</v>
      </c>
      <c r="P14" s="792">
        <f t="shared" si="4"/>
        <v>0.10689007686149947</v>
      </c>
      <c r="Q14" s="326">
        <f>'Lsandelar totalt'!K14</f>
        <v>0</v>
      </c>
      <c r="R14" s="26">
        <v>0</v>
      </c>
      <c r="S14" s="798"/>
      <c r="T14" s="775">
        <f t="shared" si="11"/>
        <v>780623.85000000009</v>
      </c>
      <c r="U14" s="775" t="e">
        <f t="shared" si="5"/>
        <v>#REF!</v>
      </c>
      <c r="V14" s="795" t="e">
        <f t="shared" si="6"/>
        <v>#REF!</v>
      </c>
      <c r="W14" s="776">
        <f>'Lsandelar totalt'!N14</f>
        <v>0</v>
      </c>
      <c r="X14" s="26">
        <v>-20643.91</v>
      </c>
      <c r="Y14" s="794">
        <f t="shared" si="7"/>
        <v>-1</v>
      </c>
      <c r="Z14" s="778">
        <f t="shared" si="8"/>
        <v>780623.85000000009</v>
      </c>
      <c r="AA14" s="778" t="e">
        <f t="shared" si="9"/>
        <v>#REF!</v>
      </c>
      <c r="AB14" s="796" t="e">
        <f t="shared" si="10"/>
        <v>#REF!</v>
      </c>
      <c r="AC14" s="797"/>
      <c r="AD14" s="770"/>
    </row>
    <row r="15" spans="1:30" ht="15.75">
      <c r="A15" s="6" t="s">
        <v>100</v>
      </c>
      <c r="B15" s="333">
        <f>'Lsandelar totalt'!B15</f>
        <v>321296.34999999998</v>
      </c>
      <c r="C15" s="26">
        <v>304191</v>
      </c>
      <c r="D15" s="792">
        <f t="shared" si="0"/>
        <v>5.6232268541804249E-2</v>
      </c>
      <c r="E15" s="326">
        <f>'Lsandelar totalt'!C15</f>
        <v>47032.72</v>
      </c>
      <c r="F15" s="793">
        <v>183021.15780000002</v>
      </c>
      <c r="G15" s="792">
        <f t="shared" si="1"/>
        <v>-0.74302031215759257</v>
      </c>
      <c r="H15" s="326">
        <f>'Lsandelar totalt'!E15</f>
        <v>0</v>
      </c>
      <c r="I15" s="26">
        <v>0</v>
      </c>
      <c r="J15" s="792" t="e">
        <f t="shared" si="2"/>
        <v>#DIV/0!</v>
      </c>
      <c r="K15" s="326">
        <f>'Lsandelar totalt'!H15</f>
        <v>166544.49</v>
      </c>
      <c r="L15" s="26" t="e">
        <f>'Lsandelar totalt'!#REF!</f>
        <v>#REF!</v>
      </c>
      <c r="M15" s="792" t="e">
        <f t="shared" si="3"/>
        <v>#REF!</v>
      </c>
      <c r="N15" s="326">
        <f>'Lsandelar totalt'!J15</f>
        <v>3819.1</v>
      </c>
      <c r="O15" s="26">
        <v>3558.41</v>
      </c>
      <c r="P15" s="792">
        <f t="shared" si="4"/>
        <v>7.3260248256946242E-2</v>
      </c>
      <c r="Q15" s="326">
        <f>'Lsandelar totalt'!K15</f>
        <v>0</v>
      </c>
      <c r="R15" s="26">
        <v>0</v>
      </c>
      <c r="S15" s="798"/>
      <c r="T15" s="775">
        <f t="shared" si="11"/>
        <v>538692.65999999992</v>
      </c>
      <c r="U15" s="775" t="e">
        <f t="shared" si="5"/>
        <v>#REF!</v>
      </c>
      <c r="V15" s="795" t="e">
        <f t="shared" si="6"/>
        <v>#REF!</v>
      </c>
      <c r="W15" s="776">
        <f>'Lsandelar totalt'!N15</f>
        <v>0</v>
      </c>
      <c r="X15" s="26">
        <v>-55081.54</v>
      </c>
      <c r="Y15" s="794">
        <f t="shared" si="7"/>
        <v>-1</v>
      </c>
      <c r="Z15" s="778">
        <f t="shared" si="8"/>
        <v>538692.65999999992</v>
      </c>
      <c r="AA15" s="778" t="e">
        <f t="shared" si="9"/>
        <v>#REF!</v>
      </c>
      <c r="AB15" s="796" t="e">
        <f t="shared" si="10"/>
        <v>#REF!</v>
      </c>
      <c r="AC15" s="797"/>
      <c r="AD15" s="770"/>
    </row>
    <row r="16" spans="1:30" ht="15.75">
      <c r="A16" s="6" t="s">
        <v>101</v>
      </c>
      <c r="B16" s="333">
        <f>'Lsandelar totalt'!B16</f>
        <v>1882731.68</v>
      </c>
      <c r="C16" s="26">
        <v>1463808.04</v>
      </c>
      <c r="D16" s="792">
        <f t="shared" si="0"/>
        <v>0.28618755229681608</v>
      </c>
      <c r="E16" s="326">
        <f>'Lsandelar totalt'!C16</f>
        <v>474962.78</v>
      </c>
      <c r="F16" s="793">
        <v>388174.06399999995</v>
      </c>
      <c r="G16" s="792">
        <f t="shared" si="1"/>
        <v>0.22358195471812894</v>
      </c>
      <c r="H16" s="326">
        <f>'Lsandelar totalt'!E16</f>
        <v>86200.42</v>
      </c>
      <c r="I16" s="26">
        <v>38562.36</v>
      </c>
      <c r="J16" s="792">
        <f t="shared" si="2"/>
        <v>1.235351259622077</v>
      </c>
      <c r="K16" s="326">
        <f>'Lsandelar totalt'!H16</f>
        <v>234376.9</v>
      </c>
      <c r="L16" s="26" t="e">
        <f>'Lsandelar totalt'!#REF!</f>
        <v>#REF!</v>
      </c>
      <c r="M16" s="792" t="e">
        <f t="shared" si="3"/>
        <v>#REF!</v>
      </c>
      <c r="N16" s="326">
        <f>'Lsandelar totalt'!J16</f>
        <v>36495.51</v>
      </c>
      <c r="O16" s="26">
        <v>30578.18</v>
      </c>
      <c r="P16" s="792">
        <f t="shared" si="4"/>
        <v>0.19351478734182354</v>
      </c>
      <c r="Q16" s="326">
        <f>'Lsandelar totalt'!K16</f>
        <v>0</v>
      </c>
      <c r="R16" s="26">
        <v>0</v>
      </c>
      <c r="S16" s="798"/>
      <c r="T16" s="775">
        <f t="shared" si="11"/>
        <v>2714767.2899999996</v>
      </c>
      <c r="U16" s="775" t="e">
        <f t="shared" si="5"/>
        <v>#REF!</v>
      </c>
      <c r="V16" s="795" t="e">
        <f t="shared" si="6"/>
        <v>#REF!</v>
      </c>
      <c r="W16" s="776">
        <f>'Lsandelar totalt'!N16</f>
        <v>0</v>
      </c>
      <c r="X16" s="26">
        <v>323148.65000000002</v>
      </c>
      <c r="Y16" s="794">
        <f t="shared" si="7"/>
        <v>-1</v>
      </c>
      <c r="Z16" s="778">
        <f t="shared" si="8"/>
        <v>2714767.2899999996</v>
      </c>
      <c r="AA16" s="778" t="e">
        <f t="shared" si="9"/>
        <v>#REF!</v>
      </c>
      <c r="AB16" s="796" t="e">
        <f t="shared" si="10"/>
        <v>#REF!</v>
      </c>
      <c r="AC16" s="797"/>
      <c r="AD16" s="770"/>
    </row>
    <row r="17" spans="1:30" ht="15.75">
      <c r="A17" s="6" t="s">
        <v>102</v>
      </c>
      <c r="B17" s="333">
        <f>'Lsandelar totalt'!B17</f>
        <v>307953.59000000003</v>
      </c>
      <c r="C17" s="26">
        <v>327671.96000000002</v>
      </c>
      <c r="D17" s="792">
        <f t="shared" si="0"/>
        <v>-6.0177166212208068E-2</v>
      </c>
      <c r="E17" s="326">
        <f>'Lsandelar totalt'!C17</f>
        <v>253672.75</v>
      </c>
      <c r="F17" s="793">
        <v>221548.88</v>
      </c>
      <c r="G17" s="792">
        <f t="shared" si="1"/>
        <v>0.14499676098565695</v>
      </c>
      <c r="H17" s="326">
        <f>'Lsandelar totalt'!E17</f>
        <v>39784.81</v>
      </c>
      <c r="I17" s="26">
        <v>0</v>
      </c>
      <c r="J17" s="792" t="e">
        <f t="shared" si="2"/>
        <v>#DIV/0!</v>
      </c>
      <c r="K17" s="326">
        <f>'Lsandelar totalt'!H17</f>
        <v>71746.91</v>
      </c>
      <c r="L17" s="26" t="e">
        <f>'Lsandelar totalt'!#REF!</f>
        <v>#REF!</v>
      </c>
      <c r="M17" s="792" t="e">
        <f t="shared" si="3"/>
        <v>#REF!</v>
      </c>
      <c r="N17" s="326">
        <f>'Lsandelar totalt'!J17</f>
        <v>6165.36</v>
      </c>
      <c r="O17" s="26">
        <v>5955.81</v>
      </c>
      <c r="P17" s="792">
        <f t="shared" si="4"/>
        <v>3.518413112574096E-2</v>
      </c>
      <c r="Q17" s="326">
        <f>'Lsandelar totalt'!K17</f>
        <v>0</v>
      </c>
      <c r="R17" s="26">
        <v>0</v>
      </c>
      <c r="S17" s="798"/>
      <c r="T17" s="775">
        <f t="shared" si="11"/>
        <v>679323.42000000016</v>
      </c>
      <c r="U17" s="775" t="e">
        <f t="shared" si="5"/>
        <v>#REF!</v>
      </c>
      <c r="V17" s="795" t="e">
        <f t="shared" si="6"/>
        <v>#REF!</v>
      </c>
      <c r="W17" s="776">
        <f>'Lsandelar totalt'!N17</f>
        <v>0</v>
      </c>
      <c r="X17" s="26">
        <v>75458.12</v>
      </c>
      <c r="Y17" s="794">
        <f t="shared" si="7"/>
        <v>-1</v>
      </c>
      <c r="Z17" s="778">
        <f t="shared" si="8"/>
        <v>679323.42000000016</v>
      </c>
      <c r="AA17" s="778" t="e">
        <f t="shared" si="9"/>
        <v>#REF!</v>
      </c>
      <c r="AB17" s="796" t="e">
        <f t="shared" si="10"/>
        <v>#REF!</v>
      </c>
      <c r="AC17" s="797"/>
      <c r="AD17" s="770"/>
    </row>
    <row r="18" spans="1:30" ht="15.75">
      <c r="A18" s="6" t="s">
        <v>103</v>
      </c>
      <c r="B18" s="333">
        <f>'Lsandelar totalt'!B18</f>
        <v>1347993.15</v>
      </c>
      <c r="C18" s="26">
        <v>1313668.8400000001</v>
      </c>
      <c r="D18" s="792">
        <f t="shared" si="0"/>
        <v>2.6128586562196163E-2</v>
      </c>
      <c r="E18" s="326">
        <f>'Lsandelar totalt'!C18</f>
        <v>446687.31</v>
      </c>
      <c r="F18" s="793">
        <v>379483.60399999993</v>
      </c>
      <c r="G18" s="792">
        <f t="shared" si="1"/>
        <v>0.17709251543842741</v>
      </c>
      <c r="H18" s="326">
        <f>'Lsandelar totalt'!E18</f>
        <v>159139.24</v>
      </c>
      <c r="I18" s="26">
        <v>99619.430000000008</v>
      </c>
      <c r="J18" s="792">
        <f t="shared" si="2"/>
        <v>0.59747189880528306</v>
      </c>
      <c r="K18" s="326">
        <f>'Lsandelar totalt'!H18</f>
        <v>350717.5</v>
      </c>
      <c r="L18" s="26" t="e">
        <f>'Lsandelar totalt'!#REF!</f>
        <v>#REF!</v>
      </c>
      <c r="M18" s="792" t="e">
        <f t="shared" si="3"/>
        <v>#REF!</v>
      </c>
      <c r="N18" s="326">
        <f>'Lsandelar totalt'!J18</f>
        <v>30706.92</v>
      </c>
      <c r="O18" s="26">
        <v>28241.09</v>
      </c>
      <c r="P18" s="792">
        <f t="shared" si="4"/>
        <v>8.7313556240215875E-2</v>
      </c>
      <c r="Q18" s="326">
        <f>'Lsandelar totalt'!K18</f>
        <v>0</v>
      </c>
      <c r="R18" s="26">
        <v>0</v>
      </c>
      <c r="S18" s="798"/>
      <c r="T18" s="775">
        <f t="shared" si="11"/>
        <v>2335244.12</v>
      </c>
      <c r="U18" s="775" t="e">
        <f t="shared" si="5"/>
        <v>#REF!</v>
      </c>
      <c r="V18" s="795" t="e">
        <f t="shared" si="6"/>
        <v>#REF!</v>
      </c>
      <c r="W18" s="776">
        <f>'Lsandelar totalt'!N18</f>
        <v>0</v>
      </c>
      <c r="X18" s="26">
        <v>281183.61</v>
      </c>
      <c r="Y18" s="794">
        <f t="shared" si="7"/>
        <v>-1</v>
      </c>
      <c r="Z18" s="778">
        <f t="shared" si="8"/>
        <v>2335244.12</v>
      </c>
      <c r="AA18" s="778" t="e">
        <f t="shared" si="9"/>
        <v>#REF!</v>
      </c>
      <c r="AB18" s="796" t="e">
        <f t="shared" si="10"/>
        <v>#REF!</v>
      </c>
      <c r="AC18" s="797"/>
      <c r="AD18" s="770"/>
    </row>
    <row r="19" spans="1:30" ht="15.75">
      <c r="A19" s="6" t="s">
        <v>104</v>
      </c>
      <c r="B19" s="333">
        <f>'Lsandelar totalt'!B19</f>
        <v>80861.649999999994</v>
      </c>
      <c r="C19" s="26">
        <v>39357.06</v>
      </c>
      <c r="D19" s="792">
        <f t="shared" si="0"/>
        <v>1.0545653054369406</v>
      </c>
      <c r="E19" s="326">
        <f>'Lsandelar totalt'!C19</f>
        <v>141098.17000000001</v>
      </c>
      <c r="F19" s="793">
        <v>10167.8421</v>
      </c>
      <c r="G19" s="792">
        <f t="shared" si="1"/>
        <v>12.876904126982856</v>
      </c>
      <c r="H19" s="326">
        <f>'Lsandelar totalt'!E19</f>
        <v>0</v>
      </c>
      <c r="I19" s="26">
        <v>0</v>
      </c>
      <c r="J19" s="792" t="e">
        <f t="shared" si="2"/>
        <v>#DIV/0!</v>
      </c>
      <c r="K19" s="326">
        <f>'Lsandelar totalt'!H19</f>
        <v>60855.78</v>
      </c>
      <c r="L19" s="26" t="e">
        <f>'Lsandelar totalt'!#REF!</f>
        <v>#REF!</v>
      </c>
      <c r="M19" s="792" t="e">
        <f t="shared" si="3"/>
        <v>#REF!</v>
      </c>
      <c r="N19" s="326">
        <f>'Lsandelar totalt'!J19</f>
        <v>1900.99</v>
      </c>
      <c r="O19" s="26">
        <v>1387.18</v>
      </c>
      <c r="P19" s="792">
        <f t="shared" si="4"/>
        <v>0.37039893885436637</v>
      </c>
      <c r="Q19" s="326">
        <f>'Lsandelar totalt'!K19</f>
        <v>0</v>
      </c>
      <c r="R19" s="26">
        <v>0</v>
      </c>
      <c r="S19" s="798"/>
      <c r="T19" s="775">
        <f t="shared" si="11"/>
        <v>284716.58999999997</v>
      </c>
      <c r="U19" s="775" t="e">
        <f t="shared" si="5"/>
        <v>#REF!</v>
      </c>
      <c r="V19" s="795" t="e">
        <f t="shared" si="6"/>
        <v>#REF!</v>
      </c>
      <c r="W19" s="776">
        <f>'Lsandelar totalt'!N19</f>
        <v>0</v>
      </c>
      <c r="X19" s="26">
        <v>47018.91</v>
      </c>
      <c r="Y19" s="794">
        <f t="shared" si="7"/>
        <v>-1</v>
      </c>
      <c r="Z19" s="778">
        <f t="shared" si="8"/>
        <v>284716.58999999997</v>
      </c>
      <c r="AA19" s="778" t="e">
        <f t="shared" si="9"/>
        <v>#REF!</v>
      </c>
      <c r="AB19" s="796" t="e">
        <f t="shared" si="10"/>
        <v>#REF!</v>
      </c>
      <c r="AC19" s="797"/>
      <c r="AD19" s="770"/>
    </row>
    <row r="20" spans="1:30" ht="15.75">
      <c r="A20" s="6" t="s">
        <v>105</v>
      </c>
      <c r="B20" s="333">
        <f>'Lsandelar totalt'!B20</f>
        <v>1179115.1000000001</v>
      </c>
      <c r="C20" s="26">
        <v>1127852.55</v>
      </c>
      <c r="D20" s="792">
        <f t="shared" si="0"/>
        <v>4.5451464378034205E-2</v>
      </c>
      <c r="E20" s="326">
        <f>'Lsandelar totalt'!C20</f>
        <v>399628.76</v>
      </c>
      <c r="F20" s="793">
        <v>343447.13199999998</v>
      </c>
      <c r="G20" s="792">
        <f t="shared" si="1"/>
        <v>0.16358159019362559</v>
      </c>
      <c r="H20" s="326">
        <f>'Lsandelar totalt'!E20</f>
        <v>96146.62</v>
      </c>
      <c r="I20" s="26">
        <v>115687.08</v>
      </c>
      <c r="J20" s="792">
        <f t="shared" si="2"/>
        <v>-0.1689078849600146</v>
      </c>
      <c r="K20" s="326">
        <f>'Lsandelar totalt'!H20</f>
        <v>168318.76</v>
      </c>
      <c r="L20" s="26" t="e">
        <f>'Lsandelar totalt'!#REF!</f>
        <v>#REF!</v>
      </c>
      <c r="M20" s="792" t="e">
        <f t="shared" si="3"/>
        <v>#REF!</v>
      </c>
      <c r="N20" s="326">
        <f>'Lsandelar totalt'!J20</f>
        <v>17143.13</v>
      </c>
      <c r="O20" s="26">
        <v>15545.42</v>
      </c>
      <c r="P20" s="792">
        <f t="shared" si="4"/>
        <v>0.10277689505976687</v>
      </c>
      <c r="Q20" s="326">
        <f>'Lsandelar totalt'!K20</f>
        <v>0</v>
      </c>
      <c r="R20" s="26">
        <v>0</v>
      </c>
      <c r="S20" s="798"/>
      <c r="T20" s="775">
        <f t="shared" si="11"/>
        <v>1860352.3699999999</v>
      </c>
      <c r="U20" s="775" t="e">
        <f t="shared" si="5"/>
        <v>#REF!</v>
      </c>
      <c r="V20" s="795" t="e">
        <f t="shared" si="6"/>
        <v>#REF!</v>
      </c>
      <c r="W20" s="776">
        <f>'Lsandelar totalt'!N20</f>
        <v>0</v>
      </c>
      <c r="X20" s="26">
        <v>81591.59</v>
      </c>
      <c r="Y20" s="794">
        <f t="shared" si="7"/>
        <v>-1</v>
      </c>
      <c r="Z20" s="778">
        <f t="shared" si="8"/>
        <v>1860352.3699999999</v>
      </c>
      <c r="AA20" s="778" t="e">
        <f t="shared" si="9"/>
        <v>#REF!</v>
      </c>
      <c r="AB20" s="796" t="e">
        <f t="shared" si="10"/>
        <v>#REF!</v>
      </c>
      <c r="AC20" s="797"/>
      <c r="AD20" s="770"/>
    </row>
    <row r="21" spans="1:30" ht="15.75">
      <c r="A21" s="6" t="s">
        <v>106</v>
      </c>
      <c r="B21" s="326">
        <f>'Lsandelar totalt'!B21</f>
        <v>672104.59</v>
      </c>
      <c r="C21" s="26">
        <v>607819.13</v>
      </c>
      <c r="D21" s="792">
        <f t="shared" si="0"/>
        <v>0.1057641275620923</v>
      </c>
      <c r="E21" s="326">
        <f>'Lsandelar totalt'!C21</f>
        <v>423102.54</v>
      </c>
      <c r="F21" s="793">
        <v>371117.54800000007</v>
      </c>
      <c r="G21" s="792">
        <f t="shared" si="1"/>
        <v>0.14007689013940106</v>
      </c>
      <c r="H21" s="326">
        <f>'Lsandelar totalt'!E21</f>
        <v>23207.81</v>
      </c>
      <c r="I21" s="26">
        <v>77124.72</v>
      </c>
      <c r="J21" s="792">
        <f t="shared" si="2"/>
        <v>-0.69908727059236009</v>
      </c>
      <c r="K21" s="326">
        <f>'Lsandelar totalt'!H21</f>
        <v>226403.71</v>
      </c>
      <c r="L21" s="26" t="e">
        <f>'Lsandelar totalt'!#REF!</f>
        <v>#REF!</v>
      </c>
      <c r="M21" s="792" t="e">
        <f t="shared" si="3"/>
        <v>#REF!</v>
      </c>
      <c r="N21" s="326">
        <f>'Lsandelar totalt'!J21</f>
        <v>7723.83</v>
      </c>
      <c r="O21" s="26">
        <v>6483.54</v>
      </c>
      <c r="P21" s="792">
        <f t="shared" si="4"/>
        <v>0.1912982722401651</v>
      </c>
      <c r="Q21" s="326">
        <f>'Lsandelar totalt'!K21</f>
        <v>0</v>
      </c>
      <c r="R21" s="26">
        <v>0</v>
      </c>
      <c r="S21" s="798"/>
      <c r="T21" s="775">
        <f t="shared" si="11"/>
        <v>1352542.48</v>
      </c>
      <c r="U21" s="775" t="e">
        <f t="shared" si="5"/>
        <v>#REF!</v>
      </c>
      <c r="V21" s="795" t="e">
        <f t="shared" si="6"/>
        <v>#REF!</v>
      </c>
      <c r="W21" s="776">
        <f>'Lsandelar totalt'!N21</f>
        <v>0</v>
      </c>
      <c r="X21" s="26">
        <v>-96108.17</v>
      </c>
      <c r="Y21" s="794">
        <f t="shared" si="7"/>
        <v>-1</v>
      </c>
      <c r="Z21" s="778">
        <f t="shared" si="8"/>
        <v>1352542.48</v>
      </c>
      <c r="AA21" s="778" t="e">
        <f t="shared" si="9"/>
        <v>#REF!</v>
      </c>
      <c r="AB21" s="796" t="e">
        <f t="shared" si="10"/>
        <v>#REF!</v>
      </c>
      <c r="AC21" s="797"/>
      <c r="AD21" s="770"/>
    </row>
    <row r="22" spans="1:30" ht="15.75">
      <c r="A22" s="6" t="s">
        <v>107</v>
      </c>
      <c r="B22" s="326">
        <f>'Lsandelar totalt'!B22</f>
        <v>366425.93</v>
      </c>
      <c r="C22" s="776">
        <v>0</v>
      </c>
      <c r="D22" s="792">
        <v>0</v>
      </c>
      <c r="E22" s="326">
        <f>'Lsandelar totalt'!C22</f>
        <v>783973.33</v>
      </c>
      <c r="F22" s="799">
        <v>644542.63399999996</v>
      </c>
      <c r="G22" s="792">
        <f t="shared" si="1"/>
        <v>0.21632501660084133</v>
      </c>
      <c r="H22" s="326">
        <f>'Lsandelar totalt'!E22</f>
        <v>222131.86</v>
      </c>
      <c r="I22" s="26">
        <v>292431.23000000004</v>
      </c>
      <c r="J22" s="792">
        <f t="shared" si="2"/>
        <v>-0.24039624632430689</v>
      </c>
      <c r="K22" s="326">
        <f>'Lsandelar totalt'!H22</f>
        <v>2052823.92</v>
      </c>
      <c r="L22" s="26" t="e">
        <f>'Lsandelar totalt'!#REF!</f>
        <v>#REF!</v>
      </c>
      <c r="M22" s="792" t="e">
        <f t="shared" si="3"/>
        <v>#REF!</v>
      </c>
      <c r="N22" s="326">
        <f>'Lsandelar totalt'!J22</f>
        <v>201350.38</v>
      </c>
      <c r="O22" s="26">
        <v>176065.81</v>
      </c>
      <c r="P22" s="792">
        <f t="shared" si="4"/>
        <v>0.143608631340747</v>
      </c>
      <c r="Q22" s="326">
        <f>'Lsandelar totalt'!K22</f>
        <v>0</v>
      </c>
      <c r="R22" s="26">
        <v>100852.37999999999</v>
      </c>
      <c r="S22" s="798"/>
      <c r="T22" s="775">
        <f t="shared" si="11"/>
        <v>3626705.42</v>
      </c>
      <c r="U22" s="775" t="e">
        <f t="shared" si="5"/>
        <v>#REF!</v>
      </c>
      <c r="V22" s="795" t="e">
        <f t="shared" si="6"/>
        <v>#REF!</v>
      </c>
      <c r="W22" s="776">
        <f>'Lsandelar totalt'!N22</f>
        <v>0</v>
      </c>
      <c r="X22" s="776">
        <v>-320068.8</v>
      </c>
      <c r="Y22" s="794">
        <f t="shared" si="7"/>
        <v>-1</v>
      </c>
      <c r="Z22" s="778">
        <f t="shared" si="8"/>
        <v>3626705.42</v>
      </c>
      <c r="AA22" s="778" t="e">
        <f t="shared" si="9"/>
        <v>#REF!</v>
      </c>
      <c r="AB22" s="796" t="e">
        <f t="shared" si="10"/>
        <v>#REF!</v>
      </c>
      <c r="AC22" s="797"/>
      <c r="AD22" s="770"/>
    </row>
    <row r="23" spans="1:30" ht="30">
      <c r="A23" s="325" t="s">
        <v>250</v>
      </c>
      <c r="B23" s="271"/>
      <c r="C23" s="297"/>
      <c r="D23" s="296"/>
      <c r="E23" s="271"/>
      <c r="F23" s="297"/>
      <c r="G23" s="296"/>
      <c r="H23" s="271"/>
      <c r="I23" s="297"/>
      <c r="J23" s="296"/>
      <c r="K23" s="336"/>
      <c r="L23" s="297"/>
      <c r="M23" s="296"/>
      <c r="N23" s="271"/>
      <c r="O23" s="297"/>
      <c r="P23" s="296"/>
      <c r="Q23" s="271"/>
      <c r="R23" s="297"/>
      <c r="S23" s="296"/>
      <c r="T23" s="272">
        <v>400000</v>
      </c>
      <c r="U23" s="272">
        <v>300000</v>
      </c>
      <c r="V23" s="295">
        <f t="shared" si="6"/>
        <v>0.33333333333333331</v>
      </c>
      <c r="W23" s="297"/>
      <c r="X23" s="297"/>
      <c r="Y23" s="294"/>
      <c r="Z23" s="273">
        <f>T23</f>
        <v>400000</v>
      </c>
      <c r="AA23" s="273">
        <f>U23</f>
        <v>300000</v>
      </c>
      <c r="AB23" s="293">
        <f t="shared" si="10"/>
        <v>0.33333333333333331</v>
      </c>
      <c r="AC23" s="298"/>
      <c r="AD23" s="770"/>
    </row>
    <row r="24" spans="1:30" s="1" customFormat="1" ht="15.75">
      <c r="A24" s="9" t="s">
        <v>108</v>
      </c>
      <c r="B24" s="334">
        <f>SUM(B7:B23)</f>
        <v>16920145.690000001</v>
      </c>
      <c r="C24" s="14">
        <f>SUM(C7:C23)</f>
        <v>14386975.060000002</v>
      </c>
      <c r="D24" s="252">
        <f t="shared" si="0"/>
        <v>0.17607388762652088</v>
      </c>
      <c r="E24" s="327">
        <f>SUM(E7:E23)</f>
        <v>6287492.5099999998</v>
      </c>
      <c r="F24" s="14">
        <f>SUM(F7:F23)</f>
        <v>5421099.5559999999</v>
      </c>
      <c r="G24" s="252">
        <f>(E24-F24)/F24</f>
        <v>0.15981867609147443</v>
      </c>
      <c r="H24" s="327">
        <f>'Lsandelar totalt'!E26</f>
        <v>1249906.1200000001</v>
      </c>
      <c r="I24" s="14">
        <f>SUM(I7:I23)</f>
        <v>1057251.3699999999</v>
      </c>
      <c r="J24" s="252">
        <f>(H24-I24)/I24</f>
        <v>0.18222227510568301</v>
      </c>
      <c r="K24" s="327">
        <f>SUM(K7:K23)</f>
        <v>5478801.7299999995</v>
      </c>
      <c r="L24" s="14" t="e">
        <f>SUM(L7:L23)</f>
        <v>#REF!</v>
      </c>
      <c r="M24" s="252" t="e">
        <f t="shared" si="3"/>
        <v>#REF!</v>
      </c>
      <c r="N24" s="327">
        <f>'Lsandelar totalt'!J26</f>
        <v>519928.25</v>
      </c>
      <c r="O24" s="14">
        <f>SUM(O7:O23)</f>
        <v>444635.14999999997</v>
      </c>
      <c r="P24" s="252">
        <f t="shared" si="4"/>
        <v>0.16933681468952699</v>
      </c>
      <c r="Q24" s="327">
        <f>'Lsandelar totalt'!K26</f>
        <v>0</v>
      </c>
      <c r="R24" s="14">
        <v>101372.58000000002</v>
      </c>
      <c r="S24" s="252">
        <f>(Q24-R24)/R24</f>
        <v>-1</v>
      </c>
      <c r="T24" s="90">
        <f>SUM(T7:T23)</f>
        <v>30856274.300000004</v>
      </c>
      <c r="U24" s="90" t="e">
        <f>SUM(U7:U23)</f>
        <v>#REF!</v>
      </c>
      <c r="V24" s="254" t="e">
        <f>(T24-U24)/U24</f>
        <v>#REF!</v>
      </c>
      <c r="W24" s="14">
        <f>SUM(W7:W23)</f>
        <v>0</v>
      </c>
      <c r="X24" s="14">
        <f>SUM(X7:X23)</f>
        <v>1.0000000009313226E-2</v>
      </c>
      <c r="Y24" s="252">
        <v>0</v>
      </c>
      <c r="Z24" s="88">
        <f>SUM(Z7:Z23)</f>
        <v>30856274.300000004</v>
      </c>
      <c r="AA24" s="88" t="e">
        <f>SUM(AA7:AA23)</f>
        <v>#REF!</v>
      </c>
      <c r="AB24" s="258" t="e">
        <f t="shared" si="10"/>
        <v>#REF!</v>
      </c>
      <c r="AC24" s="276"/>
      <c r="AD24" s="4"/>
    </row>
    <row r="25" spans="1:30" ht="15.75">
      <c r="A25" s="770"/>
      <c r="B25" s="800"/>
      <c r="C25" s="770"/>
      <c r="D25" s="801"/>
      <c r="E25" s="770"/>
      <c r="F25" s="770"/>
      <c r="G25" s="801"/>
      <c r="H25" s="770"/>
      <c r="I25" s="770"/>
      <c r="J25" s="801"/>
      <c r="K25" s="770"/>
      <c r="L25" s="770"/>
      <c r="M25" s="801"/>
      <c r="N25" s="770"/>
      <c r="O25" s="770"/>
      <c r="P25" s="801"/>
      <c r="Q25" s="770"/>
      <c r="R25" s="770"/>
      <c r="S25" s="801"/>
      <c r="T25" s="770"/>
      <c r="U25" s="770"/>
      <c r="V25" s="801"/>
      <c r="W25" s="770"/>
      <c r="X25" s="770"/>
      <c r="Y25" s="801"/>
      <c r="Z25" s="770"/>
      <c r="AA25" s="770"/>
      <c r="AB25" s="770"/>
      <c r="AC25" s="802"/>
      <c r="AD25" s="770"/>
    </row>
    <row r="26" spans="1:30" s="85" customFormat="1" ht="12">
      <c r="A26" s="224" t="s">
        <v>251</v>
      </c>
      <c r="B26" s="251">
        <f>B24-C24</f>
        <v>2533170.629999999</v>
      </c>
      <c r="D26" s="253"/>
      <c r="E26" s="93">
        <f>E24-F24</f>
        <v>866392.95399999991</v>
      </c>
      <c r="G26" s="292"/>
      <c r="H26" s="93">
        <f>H24-I24</f>
        <v>192654.75000000023</v>
      </c>
      <c r="J26" s="292"/>
      <c r="K26" s="93" t="e">
        <f>K24-L24</f>
        <v>#REF!</v>
      </c>
      <c r="M26" s="253"/>
      <c r="N26" s="93">
        <f>N24-O24</f>
        <v>75293.100000000035</v>
      </c>
      <c r="P26" s="253"/>
      <c r="Q26" s="93">
        <f>Q24-R24</f>
        <v>-101372.58000000002</v>
      </c>
      <c r="S26" s="253"/>
      <c r="T26" s="93" t="e">
        <f>T24-U24</f>
        <v>#REF!</v>
      </c>
      <c r="V26" s="253"/>
      <c r="W26" s="93"/>
      <c r="Y26" s="253"/>
      <c r="Z26" s="93" t="e">
        <f>Z24-AA24</f>
        <v>#REF!</v>
      </c>
      <c r="AC26" s="277"/>
    </row>
    <row r="28" spans="1:30">
      <c r="K28" s="2"/>
      <c r="T28" s="2"/>
    </row>
    <row r="29" spans="1:30" ht="15.75">
      <c r="S29" s="2"/>
      <c r="T29" s="2"/>
      <c r="Z29" s="14"/>
      <c r="AA29" s="14"/>
    </row>
  </sheetData>
  <mergeCells count="1">
    <mergeCell ref="B5:AB5"/>
  </mergeCells>
  <pageMargins left="0.7" right="0.7" top="0.75" bottom="0.75" header="0.3" footer="0.3"/>
  <pageSetup paperSize="9" orientation="landscape" horizontalDpi="300" verticalDpi="300" r:id="rId1"/>
  <colBreaks count="1" manualBreakCount="1">
    <brk id="13" max="2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57"/>
  <sheetViews>
    <sheetView zoomScale="80" zoomScaleNormal="80" zoomScalePageLayoutView="80" workbookViewId="0">
      <selection activeCell="H15" sqref="H15"/>
    </sheetView>
  </sheetViews>
  <sheetFormatPr defaultColWidth="8.77734375" defaultRowHeight="15"/>
  <cols>
    <col min="1" max="1" width="8.77734375" style="18"/>
    <col min="2" max="2" width="13.5546875" style="18" customWidth="1"/>
    <col min="3" max="3" width="13.33203125" style="18" customWidth="1"/>
    <col min="4" max="4" width="8.77734375" style="18"/>
    <col min="5" max="6" width="10.77734375" style="18" bestFit="1" customWidth="1"/>
    <col min="7" max="7" width="10.77734375" style="18" customWidth="1"/>
    <col min="8" max="8" width="8.77734375" style="18"/>
    <col min="9" max="9" width="12.109375" style="18" bestFit="1" customWidth="1"/>
    <col min="10" max="14" width="8.77734375" style="18"/>
    <col min="15" max="15" width="10.109375" style="18" customWidth="1"/>
    <col min="16" max="16" width="10.21875" style="18" customWidth="1"/>
    <col min="17" max="17" width="9.6640625" style="18" customWidth="1"/>
    <col min="18" max="16384" width="8.77734375" style="18"/>
  </cols>
  <sheetData>
    <row r="1" spans="1:16" ht="15.75">
      <c r="A1" s="11" t="s">
        <v>252</v>
      </c>
      <c r="B1" s="770"/>
      <c r="C1" s="770"/>
      <c r="D1" s="770"/>
      <c r="E1" s="770"/>
      <c r="F1" s="770"/>
      <c r="G1" s="770"/>
      <c r="H1" s="770"/>
      <c r="I1" s="770"/>
      <c r="J1" s="770"/>
      <c r="K1" s="770"/>
      <c r="L1" s="770"/>
      <c r="M1" s="770"/>
      <c r="N1" s="770"/>
      <c r="O1" s="770"/>
      <c r="P1" s="770"/>
    </row>
    <row r="2" spans="1:16">
      <c r="A2" s="270" t="s">
        <v>253</v>
      </c>
      <c r="B2" s="770"/>
      <c r="C2" s="770"/>
      <c r="D2" s="770"/>
      <c r="E2" s="770"/>
      <c r="F2" s="770"/>
      <c r="G2" s="770"/>
      <c r="H2" s="770"/>
      <c r="I2" s="770"/>
      <c r="J2" s="770"/>
      <c r="K2" s="770"/>
      <c r="L2" s="770"/>
      <c r="M2" s="770"/>
      <c r="N2" s="770"/>
      <c r="O2" s="770"/>
      <c r="P2" s="770"/>
    </row>
    <row r="3" spans="1:16">
      <c r="A3" s="91"/>
      <c r="B3" s="770"/>
      <c r="C3" s="770"/>
      <c r="D3" s="770"/>
      <c r="E3" s="770"/>
      <c r="F3" s="770"/>
      <c r="G3" s="770"/>
      <c r="H3" s="770"/>
      <c r="I3" s="770"/>
      <c r="J3" s="770"/>
      <c r="K3" s="770"/>
      <c r="L3" s="770"/>
      <c r="M3" s="770"/>
      <c r="N3" s="770"/>
      <c r="O3" s="770"/>
      <c r="P3" s="770"/>
    </row>
    <row r="5" spans="1:16">
      <c r="A5" s="770"/>
      <c r="B5" s="4" t="s">
        <v>254</v>
      </c>
      <c r="C5" s="770"/>
      <c r="D5" s="770">
        <f>B25/C25</f>
        <v>1.0944240768850306</v>
      </c>
      <c r="E5" s="770"/>
      <c r="F5" s="770"/>
      <c r="G5" s="770"/>
      <c r="H5" s="770"/>
      <c r="I5" s="770"/>
      <c r="J5" s="770"/>
      <c r="K5" s="770"/>
      <c r="L5" s="770"/>
      <c r="M5" s="770"/>
      <c r="N5" s="770"/>
      <c r="O5" s="770"/>
      <c r="P5" s="770"/>
    </row>
    <row r="6" spans="1:16">
      <c r="A6" s="770"/>
      <c r="B6" s="53" t="s">
        <v>255</v>
      </c>
      <c r="C6" s="770"/>
      <c r="D6" s="770"/>
      <c r="E6" s="770"/>
      <c r="F6" s="770"/>
      <c r="G6" s="770"/>
      <c r="H6" s="770"/>
      <c r="I6" s="770"/>
      <c r="J6" s="770"/>
      <c r="K6" s="770"/>
      <c r="L6" s="770"/>
      <c r="M6" s="770"/>
      <c r="N6" s="770"/>
      <c r="O6" s="770"/>
      <c r="P6" s="770"/>
    </row>
    <row r="7" spans="1:16">
      <c r="A7" s="4" t="s">
        <v>256</v>
      </c>
      <c r="B7" s="770"/>
      <c r="C7" s="770"/>
      <c r="D7" s="770"/>
      <c r="E7" s="770"/>
      <c r="F7" s="770"/>
      <c r="G7" s="770"/>
      <c r="H7" s="770"/>
      <c r="I7" s="770"/>
      <c r="J7" s="770"/>
      <c r="K7" s="770"/>
      <c r="L7" s="770"/>
      <c r="M7" s="770"/>
      <c r="N7" s="770"/>
      <c r="O7" s="770"/>
      <c r="P7" s="770"/>
    </row>
    <row r="8" spans="1:16">
      <c r="A8" s="803"/>
      <c r="B8" s="52" t="s">
        <v>257</v>
      </c>
      <c r="C8" s="289" t="s">
        <v>258</v>
      </c>
      <c r="D8" s="8" t="s">
        <v>259</v>
      </c>
      <c r="E8" s="8">
        <v>2018</v>
      </c>
      <c r="F8" s="8">
        <v>2019</v>
      </c>
      <c r="G8" s="8">
        <v>2020</v>
      </c>
      <c r="H8" s="770"/>
      <c r="I8" s="286" t="s">
        <v>260</v>
      </c>
      <c r="J8" s="286"/>
      <c r="K8" s="286"/>
      <c r="L8" s="286"/>
      <c r="M8" s="286"/>
      <c r="N8" s="286"/>
      <c r="O8" s="286"/>
      <c r="P8" s="286"/>
    </row>
    <row r="9" spans="1:16" ht="15.75">
      <c r="A9" s="6" t="s">
        <v>92</v>
      </c>
      <c r="B9" s="776">
        <f>G38+K38+P38</f>
        <v>1099351.5699999998</v>
      </c>
      <c r="C9" s="286">
        <v>1119531.6448890658</v>
      </c>
      <c r="D9" s="776">
        <f t="shared" ref="D9:D23" si="0">C9*$D$5-B9</f>
        <v>125890.81700129597</v>
      </c>
      <c r="E9" s="776">
        <f>D9*-0.75</f>
        <v>-94418.112750971981</v>
      </c>
      <c r="F9" s="804">
        <f>ROUND(D9*-0.5,2)</f>
        <v>-62945.41</v>
      </c>
      <c r="G9" s="804">
        <f>ROUND(D9*-0.25,2)</f>
        <v>-31472.7</v>
      </c>
      <c r="H9" s="770"/>
      <c r="I9"/>
      <c r="J9" s="770"/>
      <c r="K9" s="770"/>
      <c r="L9" s="770"/>
      <c r="M9" s="770"/>
      <c r="N9"/>
      <c r="O9" s="770"/>
      <c r="P9" s="770"/>
    </row>
    <row r="10" spans="1:16" ht="15.75">
      <c r="A10" s="6" t="s">
        <v>93</v>
      </c>
      <c r="B10" s="776">
        <f t="shared" ref="B10:B23" si="1">G39+K39+P39</f>
        <v>2308659.2200000002</v>
      </c>
      <c r="C10" s="286">
        <v>2379972.2963313838</v>
      </c>
      <c r="D10" s="776">
        <f t="shared" si="0"/>
        <v>296039.76342442119</v>
      </c>
      <c r="E10" s="776">
        <f t="shared" ref="E10:E24" si="2">D10*-0.75</f>
        <v>-222029.8225683159</v>
      </c>
      <c r="F10" s="804">
        <f t="shared" ref="F10:F24" si="3">ROUND(D10*-0.5,2)</f>
        <v>-148019.88</v>
      </c>
      <c r="G10" s="804">
        <f t="shared" ref="G10:G24" si="4">ROUND(D10*-0.25,2)</f>
        <v>-74009.94</v>
      </c>
      <c r="H10" s="770"/>
      <c r="I10"/>
      <c r="J10" s="770"/>
      <c r="K10" s="770"/>
      <c r="L10" s="770"/>
      <c r="M10" s="770"/>
      <c r="N10"/>
      <c r="O10" s="770"/>
      <c r="P10" s="770"/>
    </row>
    <row r="11" spans="1:16" ht="15.75">
      <c r="A11" s="6" t="s">
        <v>94</v>
      </c>
      <c r="B11" s="776">
        <f t="shared" si="1"/>
        <v>3396353.8000000003</v>
      </c>
      <c r="C11" s="286">
        <v>3774588.0203166674</v>
      </c>
      <c r="D11" s="776">
        <f t="shared" si="0"/>
        <v>734646.20975636365</v>
      </c>
      <c r="E11" s="776">
        <f t="shared" si="2"/>
        <v>-550984.65731727274</v>
      </c>
      <c r="F11" s="804">
        <f t="shared" si="3"/>
        <v>-367323.1</v>
      </c>
      <c r="G11" s="804">
        <f t="shared" si="4"/>
        <v>-183661.55</v>
      </c>
      <c r="H11" s="770"/>
      <c r="I11"/>
      <c r="J11" s="770"/>
      <c r="K11" s="770"/>
      <c r="L11" s="770"/>
      <c r="M11" s="770"/>
      <c r="N11"/>
      <c r="O11" s="770"/>
      <c r="P11" s="770"/>
    </row>
    <row r="12" spans="1:16" ht="15.75">
      <c r="A12" s="6" t="s">
        <v>95</v>
      </c>
      <c r="B12" s="776">
        <f t="shared" si="1"/>
        <v>1664137.22</v>
      </c>
      <c r="C12" s="286">
        <v>1337436.4197697665</v>
      </c>
      <c r="D12" s="776">
        <f t="shared" si="0"/>
        <v>-200414.60090105282</v>
      </c>
      <c r="E12" s="776">
        <f t="shared" si="2"/>
        <v>150310.95067578962</v>
      </c>
      <c r="F12" s="804">
        <f t="shared" si="3"/>
        <v>100207.3</v>
      </c>
      <c r="G12" s="804">
        <f t="shared" si="4"/>
        <v>50103.65</v>
      </c>
      <c r="H12" s="770"/>
      <c r="I12"/>
      <c r="J12" s="770"/>
      <c r="K12" s="770"/>
      <c r="L12" s="770"/>
      <c r="M12" s="770"/>
      <c r="N12"/>
      <c r="O12" s="770"/>
      <c r="P12" s="770"/>
    </row>
    <row r="13" spans="1:16" ht="15.75">
      <c r="A13" s="6" t="s">
        <v>96</v>
      </c>
      <c r="B13" s="776">
        <f t="shared" si="1"/>
        <v>1827073.7</v>
      </c>
      <c r="C13" s="286">
        <v>1503942.0451326687</v>
      </c>
      <c r="D13" s="776">
        <f t="shared" si="0"/>
        <v>-181123.3155670939</v>
      </c>
      <c r="E13" s="776">
        <f t="shared" si="2"/>
        <v>135842.48667532043</v>
      </c>
      <c r="F13" s="804">
        <f t="shared" si="3"/>
        <v>90561.66</v>
      </c>
      <c r="G13" s="804">
        <f t="shared" si="4"/>
        <v>45280.83</v>
      </c>
      <c r="H13" s="770"/>
      <c r="I13"/>
      <c r="J13" s="770"/>
      <c r="K13" s="770"/>
      <c r="L13" s="770"/>
      <c r="M13" s="770"/>
      <c r="N13"/>
      <c r="O13" s="770"/>
      <c r="P13" s="770"/>
    </row>
    <row r="14" spans="1:16" ht="15.75">
      <c r="A14" s="6" t="s">
        <v>97</v>
      </c>
      <c r="B14" s="776">
        <f t="shared" si="1"/>
        <v>2831701.5500000003</v>
      </c>
      <c r="C14" s="286">
        <v>2862181.6594141605</v>
      </c>
      <c r="D14" s="776">
        <f t="shared" si="0"/>
        <v>300738.9704816076</v>
      </c>
      <c r="E14" s="776">
        <f t="shared" si="2"/>
        <v>-225554.2278612057</v>
      </c>
      <c r="F14" s="804">
        <f t="shared" si="3"/>
        <v>-150369.49</v>
      </c>
      <c r="G14" s="804">
        <f t="shared" si="4"/>
        <v>-75184.740000000005</v>
      </c>
      <c r="H14" s="770"/>
      <c r="I14"/>
      <c r="J14" s="770"/>
      <c r="K14" s="770"/>
      <c r="L14" s="770"/>
      <c r="M14" s="770"/>
      <c r="N14"/>
      <c r="O14" s="770"/>
      <c r="P14" s="770"/>
    </row>
    <row r="15" spans="1:16" ht="15.75">
      <c r="A15" s="6" t="s">
        <v>98</v>
      </c>
      <c r="B15" s="776">
        <f t="shared" si="1"/>
        <v>4372360.7399999993</v>
      </c>
      <c r="C15" s="286">
        <v>3590545.8278557793</v>
      </c>
      <c r="D15" s="776">
        <f t="shared" si="0"/>
        <v>-442780.93683553999</v>
      </c>
      <c r="E15" s="776">
        <f t="shared" si="2"/>
        <v>332085.70262665499</v>
      </c>
      <c r="F15" s="804">
        <f t="shared" si="3"/>
        <v>221390.47</v>
      </c>
      <c r="G15" s="804">
        <f t="shared" si="4"/>
        <v>110695.23</v>
      </c>
      <c r="H15" s="770"/>
      <c r="I15"/>
      <c r="J15" s="770"/>
      <c r="K15" s="770"/>
      <c r="L15" s="770"/>
      <c r="M15" s="770"/>
      <c r="N15"/>
      <c r="O15" s="770"/>
      <c r="P15" s="770"/>
    </row>
    <row r="16" spans="1:16" ht="15.75">
      <c r="A16" s="6" t="s">
        <v>99</v>
      </c>
      <c r="B16" s="776">
        <f t="shared" si="1"/>
        <v>833399.37000000011</v>
      </c>
      <c r="C16" s="286">
        <v>799221.43960829312</v>
      </c>
      <c r="D16" s="776">
        <f t="shared" si="0"/>
        <v>41287.816270031384</v>
      </c>
      <c r="E16" s="776">
        <f t="shared" si="2"/>
        <v>-30965.862202523538</v>
      </c>
      <c r="F16" s="804">
        <f t="shared" si="3"/>
        <v>-20643.91</v>
      </c>
      <c r="G16" s="804">
        <f t="shared" si="4"/>
        <v>-10321.950000000001</v>
      </c>
      <c r="H16" s="770"/>
      <c r="I16"/>
      <c r="J16" s="770"/>
      <c r="K16" s="770"/>
      <c r="L16" s="770"/>
      <c r="M16" s="770"/>
      <c r="N16"/>
      <c r="O16" s="770"/>
      <c r="P16" s="770"/>
    </row>
    <row r="17" spans="1:17" ht="15.75">
      <c r="A17" s="6" t="s">
        <v>100</v>
      </c>
      <c r="B17" s="776">
        <f t="shared" si="1"/>
        <v>657284.34000000008</v>
      </c>
      <c r="C17" s="286">
        <v>701234.05158727779</v>
      </c>
      <c r="D17" s="776">
        <f t="shared" si="0"/>
        <v>110163.08958875632</v>
      </c>
      <c r="E17" s="776">
        <f t="shared" si="2"/>
        <v>-82622.317191567243</v>
      </c>
      <c r="F17" s="804">
        <f t="shared" si="3"/>
        <v>-55081.54</v>
      </c>
      <c r="G17" s="804">
        <f t="shared" si="4"/>
        <v>-27540.77</v>
      </c>
      <c r="H17" s="770"/>
      <c r="I17"/>
      <c r="J17" s="770"/>
      <c r="K17" s="770"/>
      <c r="L17" s="770"/>
      <c r="M17" s="770"/>
      <c r="N17"/>
      <c r="O17" s="770"/>
      <c r="P17" s="770"/>
      <c r="Q17" s="770"/>
    </row>
    <row r="18" spans="1:17" ht="15.75">
      <c r="A18" s="6" t="s">
        <v>101</v>
      </c>
      <c r="B18" s="776">
        <f t="shared" si="1"/>
        <v>2991911.7399999998</v>
      </c>
      <c r="C18" s="286">
        <v>2143240.9013162362</v>
      </c>
      <c r="D18" s="776">
        <f t="shared" si="0"/>
        <v>-646297.29503473686</v>
      </c>
      <c r="E18" s="776">
        <f t="shared" si="2"/>
        <v>484722.97127605265</v>
      </c>
      <c r="F18" s="804">
        <f t="shared" si="3"/>
        <v>323148.65000000002</v>
      </c>
      <c r="G18" s="804">
        <f t="shared" si="4"/>
        <v>161574.32</v>
      </c>
      <c r="H18" s="776"/>
      <c r="I18"/>
      <c r="J18" s="770"/>
      <c r="K18" s="770"/>
      <c r="L18" s="770"/>
      <c r="M18" s="770"/>
      <c r="N18"/>
      <c r="O18" s="770"/>
      <c r="P18" s="770"/>
      <c r="Q18" s="770"/>
    </row>
    <row r="19" spans="1:17" ht="15.75">
      <c r="A19" s="6" t="s">
        <v>102</v>
      </c>
      <c r="B19" s="776">
        <f t="shared" si="1"/>
        <v>788747.04</v>
      </c>
      <c r="C19" s="286">
        <v>582800.41450836498</v>
      </c>
      <c r="D19" s="776">
        <f t="shared" si="0"/>
        <v>-150916.23434346949</v>
      </c>
      <c r="E19" s="776">
        <f t="shared" si="2"/>
        <v>113187.17575760212</v>
      </c>
      <c r="F19" s="804">
        <f t="shared" si="3"/>
        <v>75458.12</v>
      </c>
      <c r="G19" s="804">
        <f t="shared" si="4"/>
        <v>37729.06</v>
      </c>
      <c r="H19" s="770"/>
      <c r="I19"/>
      <c r="J19" s="770"/>
      <c r="K19" s="770"/>
      <c r="L19" s="770"/>
      <c r="M19" s="770"/>
      <c r="N19"/>
      <c r="O19" s="770"/>
      <c r="P19" s="770"/>
      <c r="Q19" s="770"/>
    </row>
    <row r="20" spans="1:17" ht="15.75">
      <c r="A20" s="6" t="s">
        <v>103</v>
      </c>
      <c r="B20" s="776">
        <f t="shared" si="1"/>
        <v>3182543.45</v>
      </c>
      <c r="C20" s="286">
        <v>2394114.2147885724</v>
      </c>
      <c r="D20" s="776">
        <f t="shared" si="0"/>
        <v>-562367.21052268706</v>
      </c>
      <c r="E20" s="776">
        <f t="shared" si="2"/>
        <v>421775.4078920153</v>
      </c>
      <c r="F20" s="804">
        <f t="shared" si="3"/>
        <v>281183.61</v>
      </c>
      <c r="G20" s="804">
        <f t="shared" si="4"/>
        <v>140591.79999999999</v>
      </c>
      <c r="H20" s="770"/>
      <c r="I20"/>
      <c r="J20" s="770"/>
      <c r="K20" s="770"/>
      <c r="L20" s="770"/>
      <c r="M20" s="770"/>
      <c r="N20"/>
      <c r="O20" s="770"/>
      <c r="P20" s="770"/>
      <c r="Q20" s="770"/>
    </row>
    <row r="21" spans="1:17" ht="15.75">
      <c r="A21" s="6" t="s">
        <v>104</v>
      </c>
      <c r="B21" s="776">
        <f t="shared" si="1"/>
        <v>212781.40000000002</v>
      </c>
      <c r="C21" s="286">
        <v>108498.69102587605</v>
      </c>
      <c r="D21" s="776">
        <f t="shared" si="0"/>
        <v>-94037.820230771467</v>
      </c>
      <c r="E21" s="776">
        <f t="shared" si="2"/>
        <v>70528.365173078608</v>
      </c>
      <c r="F21" s="804">
        <f t="shared" si="3"/>
        <v>47018.91</v>
      </c>
      <c r="G21" s="804">
        <f t="shared" si="4"/>
        <v>23509.46</v>
      </c>
      <c r="H21" s="770"/>
      <c r="I21"/>
      <c r="J21" s="770"/>
      <c r="K21" s="770"/>
      <c r="L21" s="770"/>
      <c r="M21" s="770"/>
      <c r="N21"/>
      <c r="O21" s="770"/>
      <c r="P21" s="770"/>
      <c r="Q21" s="770"/>
    </row>
    <row r="22" spans="1:17" ht="15.75">
      <c r="A22" s="6" t="s">
        <v>105</v>
      </c>
      <c r="B22" s="776">
        <f t="shared" si="1"/>
        <v>2287138.8300000005</v>
      </c>
      <c r="C22" s="286">
        <v>1940706.2464427499</v>
      </c>
      <c r="D22" s="776">
        <f t="shared" si="0"/>
        <v>-163183.18773188116</v>
      </c>
      <c r="E22" s="776">
        <f t="shared" si="2"/>
        <v>122387.39079891087</v>
      </c>
      <c r="F22" s="804">
        <f t="shared" si="3"/>
        <v>81591.59</v>
      </c>
      <c r="G22" s="804">
        <f t="shared" si="4"/>
        <v>40795.800000000003</v>
      </c>
      <c r="H22" s="770"/>
      <c r="I22"/>
      <c r="J22" s="770"/>
      <c r="K22" s="770"/>
      <c r="L22" s="770"/>
      <c r="M22" s="770"/>
      <c r="N22"/>
      <c r="O22" s="770"/>
      <c r="P22" s="770"/>
      <c r="Q22" s="770"/>
    </row>
    <row r="23" spans="1:17" ht="15.75">
      <c r="A23" s="6" t="s">
        <v>106</v>
      </c>
      <c r="B23" s="776">
        <f t="shared" si="1"/>
        <v>1501990.19</v>
      </c>
      <c r="C23" s="286">
        <v>1548034.7682471073</v>
      </c>
      <c r="D23" s="776">
        <f t="shared" si="0"/>
        <v>192216.33222477278</v>
      </c>
      <c r="E23" s="776">
        <f t="shared" si="2"/>
        <v>-144162.24916857958</v>
      </c>
      <c r="F23" s="804">
        <f t="shared" si="3"/>
        <v>-96108.17</v>
      </c>
      <c r="G23" s="804">
        <f t="shared" si="4"/>
        <v>-48054.080000000002</v>
      </c>
      <c r="H23" s="770"/>
      <c r="I23"/>
      <c r="J23" s="770"/>
      <c r="K23" s="770"/>
      <c r="L23" s="770"/>
      <c r="M23" s="770"/>
      <c r="N23"/>
      <c r="O23" s="770"/>
      <c r="P23" s="770"/>
      <c r="Q23" s="770"/>
    </row>
    <row r="24" spans="1:17" ht="15.75">
      <c r="A24" s="6" t="s">
        <v>107</v>
      </c>
      <c r="B24" s="782">
        <f>G54+K54+P54</f>
        <v>6178814.8700000001</v>
      </c>
      <c r="C24" s="287">
        <v>6230630.9011660321</v>
      </c>
      <c r="D24" s="782">
        <f>C24*$D$5-B24</f>
        <v>640137.6024199808</v>
      </c>
      <c r="E24" s="782">
        <f t="shared" si="2"/>
        <v>-480103.2018149856</v>
      </c>
      <c r="F24" s="805">
        <f t="shared" si="3"/>
        <v>-320068.8</v>
      </c>
      <c r="G24" s="805">
        <f t="shared" si="4"/>
        <v>-160034.4</v>
      </c>
      <c r="H24" s="770"/>
      <c r="I24"/>
      <c r="J24" s="770"/>
      <c r="K24" s="770"/>
      <c r="L24" s="770"/>
      <c r="M24" s="770"/>
      <c r="N24"/>
      <c r="O24" s="770"/>
      <c r="P24" s="770"/>
      <c r="Q24" s="770"/>
    </row>
    <row r="25" spans="1:17" ht="15.75">
      <c r="A25" s="9" t="s">
        <v>108</v>
      </c>
      <c r="B25" s="14">
        <f t="shared" ref="B25:G25" si="5">SUM(B9:B24)</f>
        <v>36134249.030000001</v>
      </c>
      <c r="C25" s="288">
        <v>33016679.542400002</v>
      </c>
      <c r="D25" s="14">
        <f t="shared" si="5"/>
        <v>-3.0267983675003052E-9</v>
      </c>
      <c r="E25" s="14">
        <f t="shared" si="5"/>
        <v>2.3283064365386963E-9</v>
      </c>
      <c r="F25" s="14">
        <f t="shared" si="5"/>
        <v>1.0000000009313226E-2</v>
      </c>
      <c r="G25" s="14">
        <f t="shared" si="5"/>
        <v>1.999999993131496E-2</v>
      </c>
      <c r="H25" s="770"/>
      <c r="I25"/>
      <c r="J25" s="770"/>
      <c r="K25" s="770"/>
      <c r="L25" s="770"/>
      <c r="M25" s="770"/>
      <c r="N25"/>
      <c r="O25" s="770"/>
      <c r="P25" s="770"/>
      <c r="Q25" s="770"/>
    </row>
    <row r="26" spans="1:17">
      <c r="A26" s="770"/>
      <c r="B26" s="776"/>
      <c r="C26" s="770"/>
      <c r="D26" s="770"/>
      <c r="E26" s="770"/>
      <c r="F26" s="770"/>
      <c r="G26" s="770"/>
      <c r="H26" s="770"/>
      <c r="I26" s="770"/>
      <c r="J26" s="770"/>
      <c r="K26" s="770"/>
      <c r="L26" s="770"/>
      <c r="M26" s="770"/>
      <c r="N26" s="770"/>
      <c r="O26" s="770"/>
      <c r="P26" s="770"/>
      <c r="Q26" s="770"/>
    </row>
    <row r="27" spans="1:17">
      <c r="A27" s="4" t="s">
        <v>261</v>
      </c>
      <c r="B27" s="776">
        <f>C25-B25</f>
        <v>-3117569.4875999987</v>
      </c>
      <c r="C27" s="770"/>
      <c r="D27" s="770"/>
      <c r="E27" s="770"/>
      <c r="F27" s="770"/>
      <c r="G27" s="770"/>
      <c r="H27" s="770"/>
      <c r="I27" s="770"/>
      <c r="J27" s="770"/>
      <c r="K27" s="770"/>
      <c r="L27" s="770"/>
      <c r="M27" s="770"/>
      <c r="N27" s="770"/>
      <c r="O27" s="770"/>
      <c r="P27" s="770"/>
      <c r="Q27" s="770"/>
    </row>
    <row r="29" spans="1:17">
      <c r="A29" s="86" t="s">
        <v>262</v>
      </c>
      <c r="B29" s="770"/>
      <c r="C29" s="770"/>
      <c r="D29" s="770"/>
      <c r="E29" s="770"/>
      <c r="F29" s="770"/>
      <c r="G29" s="770"/>
      <c r="H29" s="770"/>
      <c r="I29" s="770"/>
      <c r="J29" s="770"/>
      <c r="K29" s="770"/>
      <c r="L29" s="770"/>
      <c r="M29" s="770"/>
      <c r="N29" s="770"/>
      <c r="O29" s="770"/>
      <c r="P29" s="770"/>
      <c r="Q29" s="770"/>
    </row>
    <row r="31" spans="1:17" ht="18.75" thickBot="1">
      <c r="A31" s="58" t="s">
        <v>263</v>
      </c>
      <c r="B31" s="59"/>
      <c r="C31" s="59"/>
      <c r="D31" s="59"/>
      <c r="E31" s="59"/>
      <c r="F31" s="59"/>
      <c r="G31" s="59"/>
      <c r="H31" s="59"/>
      <c r="I31" s="59"/>
      <c r="J31" s="60"/>
      <c r="K31" s="59"/>
      <c r="L31" s="59"/>
      <c r="M31" s="59"/>
      <c r="N31" s="60"/>
      <c r="O31" s="61"/>
      <c r="P31" s="62"/>
      <c r="Q31" s="62"/>
    </row>
    <row r="32" spans="1:17" ht="24">
      <c r="A32" s="28" t="s">
        <v>264</v>
      </c>
      <c r="B32" s="29" t="s">
        <v>265</v>
      </c>
      <c r="C32" s="29" t="s">
        <v>121</v>
      </c>
      <c r="D32" s="29" t="s">
        <v>266</v>
      </c>
      <c r="E32" s="29" t="s">
        <v>267</v>
      </c>
      <c r="F32" s="29" t="s">
        <v>268</v>
      </c>
      <c r="G32" s="30" t="s">
        <v>269</v>
      </c>
      <c r="H32" s="31" t="s">
        <v>270</v>
      </c>
      <c r="I32" s="31" t="s">
        <v>271</v>
      </c>
      <c r="J32" s="31" t="s">
        <v>272</v>
      </c>
      <c r="K32" s="30" t="s">
        <v>269</v>
      </c>
      <c r="L32" s="31" t="s">
        <v>273</v>
      </c>
      <c r="M32" s="31" t="s">
        <v>274</v>
      </c>
      <c r="N32" s="32" t="s">
        <v>269</v>
      </c>
      <c r="O32" s="30" t="s">
        <v>269</v>
      </c>
      <c r="P32" s="33" t="s">
        <v>275</v>
      </c>
      <c r="Q32" s="34" t="s">
        <v>269</v>
      </c>
    </row>
    <row r="33" spans="1:17" ht="24">
      <c r="A33" s="35"/>
      <c r="B33" s="63"/>
      <c r="C33" s="63"/>
      <c r="D33" s="29" t="s">
        <v>276</v>
      </c>
      <c r="E33" s="63"/>
      <c r="F33" s="29" t="s">
        <v>277</v>
      </c>
      <c r="G33" s="30" t="s">
        <v>278</v>
      </c>
      <c r="H33" s="31" t="s">
        <v>279</v>
      </c>
      <c r="I33" s="31" t="s">
        <v>280</v>
      </c>
      <c r="J33" s="31" t="s">
        <v>281</v>
      </c>
      <c r="K33" s="30" t="s">
        <v>278</v>
      </c>
      <c r="L33" s="31" t="s">
        <v>282</v>
      </c>
      <c r="M33" s="31" t="s">
        <v>283</v>
      </c>
      <c r="N33" s="32" t="s">
        <v>278</v>
      </c>
      <c r="O33" s="30" t="s">
        <v>278</v>
      </c>
      <c r="P33" s="33" t="s">
        <v>284</v>
      </c>
      <c r="Q33" s="36" t="s">
        <v>278</v>
      </c>
    </row>
    <row r="34" spans="1:17" ht="24">
      <c r="A34" s="35"/>
      <c r="B34" s="63"/>
      <c r="C34" s="63"/>
      <c r="D34" s="64"/>
      <c r="E34" s="63"/>
      <c r="F34" s="29"/>
      <c r="G34" s="30" t="s">
        <v>285</v>
      </c>
      <c r="H34" s="31"/>
      <c r="I34" s="31" t="s">
        <v>286</v>
      </c>
      <c r="J34" s="31" t="s">
        <v>287</v>
      </c>
      <c r="K34" s="30" t="s">
        <v>288</v>
      </c>
      <c r="L34" s="31" t="s">
        <v>289</v>
      </c>
      <c r="M34" s="31" t="s">
        <v>290</v>
      </c>
      <c r="N34" s="32" t="s">
        <v>291</v>
      </c>
      <c r="O34" s="30" t="s">
        <v>292</v>
      </c>
      <c r="P34" s="33" t="s">
        <v>293</v>
      </c>
      <c r="Q34" s="36"/>
    </row>
    <row r="35" spans="1:17">
      <c r="A35" s="65"/>
      <c r="B35" s="66"/>
      <c r="C35" s="66"/>
      <c r="D35" s="67"/>
      <c r="E35" s="66"/>
      <c r="F35" s="66"/>
      <c r="G35" s="30" t="s">
        <v>294</v>
      </c>
      <c r="H35" s="68"/>
      <c r="I35" s="31" t="s">
        <v>295</v>
      </c>
      <c r="J35" s="69" t="s">
        <v>296</v>
      </c>
      <c r="K35" s="30" t="s">
        <v>297</v>
      </c>
      <c r="L35" s="37"/>
      <c r="M35" s="31"/>
      <c r="N35" s="32" t="s">
        <v>298</v>
      </c>
      <c r="O35" s="30"/>
      <c r="P35" s="33"/>
      <c r="Q35" s="36" t="s">
        <v>299</v>
      </c>
    </row>
    <row r="36" spans="1:17">
      <c r="A36" s="70"/>
      <c r="B36" s="67"/>
      <c r="C36" s="71"/>
      <c r="D36" s="67"/>
      <c r="E36" s="71"/>
      <c r="F36" s="71"/>
      <c r="G36" s="72"/>
      <c r="H36" s="73"/>
      <c r="I36" s="67"/>
      <c r="J36" s="74" t="s">
        <v>300</v>
      </c>
      <c r="K36" s="75"/>
      <c r="L36" s="67"/>
      <c r="M36" s="31"/>
      <c r="N36" s="76"/>
      <c r="O36" s="72"/>
      <c r="P36" s="77"/>
      <c r="Q36" s="36" t="s">
        <v>301</v>
      </c>
    </row>
    <row r="37" spans="1:17">
      <c r="A37" s="70"/>
      <c r="B37" s="67"/>
      <c r="C37" s="71"/>
      <c r="D37" s="67"/>
      <c r="E37" s="71"/>
      <c r="F37" s="71"/>
      <c r="G37" s="72"/>
      <c r="H37" s="73"/>
      <c r="I37" s="67"/>
      <c r="J37" s="74"/>
      <c r="K37" s="75"/>
      <c r="L37" s="67"/>
      <c r="M37" s="78" t="s">
        <v>302</v>
      </c>
      <c r="N37" s="76"/>
      <c r="O37" s="72"/>
      <c r="P37" s="77"/>
      <c r="Q37" s="36"/>
    </row>
    <row r="38" spans="1:17">
      <c r="A38" s="38" t="s">
        <v>92</v>
      </c>
      <c r="B38" s="39">
        <v>609433.78</v>
      </c>
      <c r="C38" s="39">
        <v>290952.03000000003</v>
      </c>
      <c r="D38" s="39"/>
      <c r="E38" s="39">
        <v>12164.07</v>
      </c>
      <c r="F38" s="39">
        <v>14838.84</v>
      </c>
      <c r="G38" s="40">
        <v>927388.72</v>
      </c>
      <c r="H38" s="39">
        <v>200260.07</v>
      </c>
      <c r="I38" s="41">
        <v>34391.379999999997</v>
      </c>
      <c r="J38" s="39"/>
      <c r="K38" s="42">
        <v>234651.45</v>
      </c>
      <c r="L38" s="39">
        <v>17985.96</v>
      </c>
      <c r="M38" s="39"/>
      <c r="N38" s="43">
        <v>17985.96</v>
      </c>
      <c r="O38" s="40">
        <v>1180026.1299999999</v>
      </c>
      <c r="P38" s="44">
        <v>-62688.6</v>
      </c>
      <c r="Q38" s="45">
        <v>1117337.5299999998</v>
      </c>
    </row>
    <row r="39" spans="1:17">
      <c r="A39" s="38" t="s">
        <v>93</v>
      </c>
      <c r="B39" s="39">
        <v>1296434.22</v>
      </c>
      <c r="C39" s="39">
        <v>541108.41</v>
      </c>
      <c r="D39" s="39"/>
      <c r="E39" s="39">
        <v>24198.74</v>
      </c>
      <c r="F39" s="39">
        <v>29519.82</v>
      </c>
      <c r="G39" s="40">
        <v>1891261.19</v>
      </c>
      <c r="H39" s="39">
        <v>165863.87</v>
      </c>
      <c r="I39" s="41">
        <v>376244.46</v>
      </c>
      <c r="J39" s="39"/>
      <c r="K39" s="42">
        <v>542108.33000000007</v>
      </c>
      <c r="L39" s="39">
        <v>53452.06</v>
      </c>
      <c r="M39" s="39"/>
      <c r="N39" s="43">
        <v>53452.06</v>
      </c>
      <c r="O39" s="40">
        <v>2486821.58</v>
      </c>
      <c r="P39" s="44">
        <v>-124710.3</v>
      </c>
      <c r="Q39" s="45">
        <v>2362111.2800000003</v>
      </c>
    </row>
    <row r="40" spans="1:17">
      <c r="A40" s="38" t="s">
        <v>94</v>
      </c>
      <c r="B40" s="39">
        <v>2248813.54</v>
      </c>
      <c r="C40" s="39">
        <v>1219216.8999999999</v>
      </c>
      <c r="D40" s="39"/>
      <c r="E40" s="39">
        <v>54393.24</v>
      </c>
      <c r="F40" s="39">
        <v>66353.820000000007</v>
      </c>
      <c r="G40" s="40">
        <v>3588777.5</v>
      </c>
      <c r="H40" s="39">
        <v>6403.45</v>
      </c>
      <c r="I40" s="41">
        <v>137557.21</v>
      </c>
      <c r="J40" s="39"/>
      <c r="K40" s="42">
        <v>143960.66</v>
      </c>
      <c r="L40" s="39">
        <v>114643.94</v>
      </c>
      <c r="M40" s="39"/>
      <c r="N40" s="43">
        <v>114643.94</v>
      </c>
      <c r="O40" s="40">
        <v>3847382.1</v>
      </c>
      <c r="P40" s="44">
        <v>-336384.36</v>
      </c>
      <c r="Q40" s="45">
        <v>3510997.74</v>
      </c>
    </row>
    <row r="41" spans="1:17">
      <c r="A41" s="38" t="s">
        <v>95</v>
      </c>
      <c r="B41" s="39">
        <v>780128.88</v>
      </c>
      <c r="C41" s="39">
        <v>468370.4</v>
      </c>
      <c r="D41" s="39"/>
      <c r="E41" s="39">
        <v>14338.07</v>
      </c>
      <c r="F41" s="39">
        <v>17490.89</v>
      </c>
      <c r="G41" s="40">
        <v>1280328.24</v>
      </c>
      <c r="H41" s="39">
        <v>260284.03</v>
      </c>
      <c r="I41" s="41">
        <v>197417.47</v>
      </c>
      <c r="J41" s="39"/>
      <c r="K41" s="42">
        <v>457701.5</v>
      </c>
      <c r="L41" s="39">
        <v>23574.1</v>
      </c>
      <c r="M41" s="39"/>
      <c r="N41" s="43">
        <v>23574.1</v>
      </c>
      <c r="O41" s="40">
        <v>1761603.8399999999</v>
      </c>
      <c r="P41" s="44">
        <v>-73892.52</v>
      </c>
      <c r="Q41" s="45">
        <v>1687711.3199999998</v>
      </c>
    </row>
    <row r="42" spans="1:17">
      <c r="A42" s="38" t="s">
        <v>96</v>
      </c>
      <c r="B42" s="39">
        <v>814657.53</v>
      </c>
      <c r="C42" s="39">
        <v>421188.99</v>
      </c>
      <c r="D42" s="39"/>
      <c r="E42" s="39">
        <v>12940.5</v>
      </c>
      <c r="F42" s="39">
        <v>15786</v>
      </c>
      <c r="G42" s="40">
        <v>1264573.02</v>
      </c>
      <c r="H42" s="39">
        <v>205434</v>
      </c>
      <c r="I42" s="41">
        <v>423756.68</v>
      </c>
      <c r="J42" s="39"/>
      <c r="K42" s="42">
        <v>629190.67999999993</v>
      </c>
      <c r="L42" s="39">
        <v>18830.810000000001</v>
      </c>
      <c r="M42" s="39"/>
      <c r="N42" s="43">
        <v>18830.810000000001</v>
      </c>
      <c r="O42" s="40">
        <v>1912594.51</v>
      </c>
      <c r="P42" s="44">
        <v>-66690</v>
      </c>
      <c r="Q42" s="45">
        <v>1845904.51</v>
      </c>
    </row>
    <row r="43" spans="1:17">
      <c r="A43" s="38" t="s">
        <v>97</v>
      </c>
      <c r="B43" s="39">
        <v>1570846.38</v>
      </c>
      <c r="C43" s="39">
        <v>881571.53</v>
      </c>
      <c r="D43" s="39"/>
      <c r="E43" s="39">
        <v>39779.1</v>
      </c>
      <c r="F43" s="39">
        <v>48526.16</v>
      </c>
      <c r="G43" s="40">
        <v>2540723.1700000004</v>
      </c>
      <c r="H43" s="39">
        <v>87708.91</v>
      </c>
      <c r="I43" s="41">
        <v>408274.53</v>
      </c>
      <c r="J43" s="39"/>
      <c r="K43" s="42">
        <v>495983.44000000006</v>
      </c>
      <c r="L43" s="39">
        <v>84670.1</v>
      </c>
      <c r="M43" s="39"/>
      <c r="N43" s="43">
        <v>84670.1</v>
      </c>
      <c r="O43" s="40">
        <v>3121376.7100000004</v>
      </c>
      <c r="P43" s="44">
        <v>-205005.06</v>
      </c>
      <c r="Q43" s="45">
        <v>2916371.6500000004</v>
      </c>
    </row>
    <row r="44" spans="1:17">
      <c r="A44" s="38" t="s">
        <v>98</v>
      </c>
      <c r="B44" s="39">
        <v>2768875.57</v>
      </c>
      <c r="C44" s="39">
        <v>2000900.79</v>
      </c>
      <c r="D44" s="39"/>
      <c r="E44" s="39">
        <v>100245.74</v>
      </c>
      <c r="F44" s="39">
        <v>122288.88</v>
      </c>
      <c r="G44" s="40">
        <v>4992310.9799999995</v>
      </c>
      <c r="H44" s="39">
        <v>0</v>
      </c>
      <c r="I44" s="41" t="s">
        <v>303</v>
      </c>
      <c r="J44" s="39"/>
      <c r="K44" s="42">
        <v>0</v>
      </c>
      <c r="L44" s="39">
        <v>171518.71</v>
      </c>
      <c r="M44" s="39"/>
      <c r="N44" s="43">
        <v>171518.71</v>
      </c>
      <c r="O44" s="40">
        <v>5163829.6899999995</v>
      </c>
      <c r="P44" s="44">
        <v>-619950.24</v>
      </c>
      <c r="Q44" s="45">
        <v>4543879.4499999993</v>
      </c>
    </row>
    <row r="45" spans="1:17">
      <c r="A45" s="38" t="s">
        <v>99</v>
      </c>
      <c r="B45" s="39">
        <v>478792.69</v>
      </c>
      <c r="C45" s="39">
        <v>157271.37</v>
      </c>
      <c r="D45" s="39"/>
      <c r="E45" s="39">
        <v>8204.2800000000007</v>
      </c>
      <c r="F45" s="39">
        <v>10008.32</v>
      </c>
      <c r="G45" s="40">
        <v>654276.66</v>
      </c>
      <c r="H45" s="39">
        <v>156230.9</v>
      </c>
      <c r="I45" s="41">
        <v>65173.27</v>
      </c>
      <c r="J45" s="39"/>
      <c r="K45" s="42">
        <v>221404.16999999998</v>
      </c>
      <c r="L45" s="39">
        <v>7739.56</v>
      </c>
      <c r="M45" s="39"/>
      <c r="N45" s="43">
        <v>7739.56</v>
      </c>
      <c r="O45" s="40">
        <v>883420.39</v>
      </c>
      <c r="P45" s="44">
        <v>-42281.46</v>
      </c>
      <c r="Q45" s="45">
        <v>841138.93</v>
      </c>
    </row>
    <row r="46" spans="1:17">
      <c r="A46" s="38" t="s">
        <v>100</v>
      </c>
      <c r="B46" s="39">
        <v>271382.59000000003</v>
      </c>
      <c r="C46" s="39">
        <v>196589.21</v>
      </c>
      <c r="D46" s="39"/>
      <c r="E46" s="39">
        <v>6470.25</v>
      </c>
      <c r="F46" s="39">
        <v>7893</v>
      </c>
      <c r="G46" s="40">
        <v>482335.05000000005</v>
      </c>
      <c r="H46" s="39">
        <v>102717</v>
      </c>
      <c r="I46" s="41">
        <v>105577.29</v>
      </c>
      <c r="J46" s="39"/>
      <c r="K46" s="42">
        <v>208294.28999999998</v>
      </c>
      <c r="L46" s="39">
        <v>2200.3000000000002</v>
      </c>
      <c r="M46" s="39"/>
      <c r="N46" s="43">
        <v>2200.3000000000002</v>
      </c>
      <c r="O46" s="40">
        <v>692829.64</v>
      </c>
      <c r="P46" s="44">
        <v>-33345</v>
      </c>
      <c r="Q46" s="45">
        <v>659484.64</v>
      </c>
    </row>
    <row r="47" spans="1:17">
      <c r="A47" s="38" t="s">
        <v>101</v>
      </c>
      <c r="B47" s="39">
        <v>1891217.84</v>
      </c>
      <c r="C47" s="39">
        <v>1138248.1399999999</v>
      </c>
      <c r="D47" s="39"/>
      <c r="E47" s="39">
        <v>51529.07</v>
      </c>
      <c r="F47" s="39">
        <v>62859.85</v>
      </c>
      <c r="G47" s="40">
        <v>3143854.9</v>
      </c>
      <c r="H47" s="39">
        <v>113616.42</v>
      </c>
      <c r="I47" s="41" t="s">
        <v>303</v>
      </c>
      <c r="J47" s="39"/>
      <c r="K47" s="42">
        <v>113616.42</v>
      </c>
      <c r="L47" s="39">
        <v>59619.01</v>
      </c>
      <c r="M47" s="39"/>
      <c r="N47" s="43">
        <v>59619.01</v>
      </c>
      <c r="O47" s="40">
        <v>3317090.33</v>
      </c>
      <c r="P47" s="44">
        <v>-265559.58</v>
      </c>
      <c r="Q47" s="45">
        <v>3051530.75</v>
      </c>
    </row>
    <row r="48" spans="1:17">
      <c r="A48" s="38" t="s">
        <v>102</v>
      </c>
      <c r="B48" s="39">
        <v>506315.04</v>
      </c>
      <c r="C48" s="39">
        <v>253600.08</v>
      </c>
      <c r="D48" s="39"/>
      <c r="E48" s="39">
        <v>10300.64</v>
      </c>
      <c r="F48" s="39">
        <v>12565.66</v>
      </c>
      <c r="G48" s="40">
        <v>782781.42</v>
      </c>
      <c r="H48" s="39">
        <v>59050.86</v>
      </c>
      <c r="I48" s="41" t="s">
        <v>303</v>
      </c>
      <c r="J48" s="39"/>
      <c r="K48" s="42">
        <v>59050.86</v>
      </c>
      <c r="L48" s="39">
        <v>21110.76</v>
      </c>
      <c r="M48" s="39"/>
      <c r="N48" s="43">
        <v>21110.76</v>
      </c>
      <c r="O48" s="40">
        <v>862943.04</v>
      </c>
      <c r="P48" s="44">
        <v>-53085.24</v>
      </c>
      <c r="Q48" s="45">
        <v>809857.8</v>
      </c>
    </row>
    <row r="49" spans="1:17">
      <c r="A49" s="38" t="s">
        <v>103</v>
      </c>
      <c r="B49" s="39">
        <v>1951187.68</v>
      </c>
      <c r="C49" s="39">
        <v>1028892.55</v>
      </c>
      <c r="D49" s="39"/>
      <c r="E49" s="39">
        <v>47336.35</v>
      </c>
      <c r="F49" s="39">
        <v>57745.19</v>
      </c>
      <c r="G49" s="40">
        <v>3085161.77</v>
      </c>
      <c r="H49" s="39">
        <v>104371.89</v>
      </c>
      <c r="I49" s="41">
        <v>236961.81</v>
      </c>
      <c r="J49" s="39"/>
      <c r="K49" s="42">
        <v>341333.7</v>
      </c>
      <c r="L49" s="39">
        <v>96267.01</v>
      </c>
      <c r="M49" s="39"/>
      <c r="N49" s="43">
        <v>96267.01</v>
      </c>
      <c r="O49" s="40">
        <v>3522762.48</v>
      </c>
      <c r="P49" s="44">
        <v>-243952.02</v>
      </c>
      <c r="Q49" s="45">
        <v>3278810.46</v>
      </c>
    </row>
    <row r="50" spans="1:17">
      <c r="A50" s="38" t="s">
        <v>104</v>
      </c>
      <c r="B50" s="39">
        <v>153771.67000000001</v>
      </c>
      <c r="C50" s="39">
        <v>23590.71</v>
      </c>
      <c r="D50" s="39"/>
      <c r="E50" s="39">
        <v>2562.2199999999998</v>
      </c>
      <c r="F50" s="39">
        <v>3125.63</v>
      </c>
      <c r="G50" s="40">
        <v>183050.23</v>
      </c>
      <c r="H50" s="39">
        <v>42935.79</v>
      </c>
      <c r="I50" s="41" t="s">
        <v>303</v>
      </c>
      <c r="J50" s="39"/>
      <c r="K50" s="42">
        <v>42935.79</v>
      </c>
      <c r="L50" s="39">
        <v>16516.080000000002</v>
      </c>
      <c r="M50" s="39"/>
      <c r="N50" s="43">
        <v>16516.080000000002</v>
      </c>
      <c r="O50" s="40">
        <v>242502.1</v>
      </c>
      <c r="P50" s="44">
        <v>-13204.62</v>
      </c>
      <c r="Q50" s="45">
        <v>229297.48</v>
      </c>
    </row>
    <row r="51" spans="1:17">
      <c r="A51" s="38" t="s">
        <v>105</v>
      </c>
      <c r="B51" s="39">
        <v>1231513.75</v>
      </c>
      <c r="C51" s="39">
        <v>763742.29</v>
      </c>
      <c r="D51" s="39"/>
      <c r="E51" s="39">
        <v>26683.31</v>
      </c>
      <c r="F51" s="39">
        <v>32550.73</v>
      </c>
      <c r="G51" s="40">
        <v>2054490.08</v>
      </c>
      <c r="H51" s="39">
        <v>157250.60999999999</v>
      </c>
      <c r="I51" s="41">
        <v>212912.92</v>
      </c>
      <c r="J51" s="39"/>
      <c r="K51" s="42">
        <v>370163.53</v>
      </c>
      <c r="L51" s="39">
        <v>42421.240000000005</v>
      </c>
      <c r="M51" s="39"/>
      <c r="N51" s="43">
        <v>42421.240000000005</v>
      </c>
      <c r="O51" s="40">
        <v>2467074.85</v>
      </c>
      <c r="P51" s="44">
        <v>-137514.78</v>
      </c>
      <c r="Q51" s="45">
        <v>2329560.0700000003</v>
      </c>
    </row>
    <row r="52" spans="1:17">
      <c r="A52" s="38" t="s">
        <v>106</v>
      </c>
      <c r="B52" s="39">
        <v>666322.37</v>
      </c>
      <c r="C52" s="39">
        <v>440723.62</v>
      </c>
      <c r="D52" s="39"/>
      <c r="E52" s="39">
        <v>11413.52</v>
      </c>
      <c r="F52" s="39">
        <v>13923.25</v>
      </c>
      <c r="G52" s="40">
        <v>1132382.76</v>
      </c>
      <c r="H52" s="39">
        <v>181192.79</v>
      </c>
      <c r="I52" s="41">
        <v>247235.22</v>
      </c>
      <c r="J52" s="39"/>
      <c r="K52" s="42">
        <v>428428.01</v>
      </c>
      <c r="L52" s="39">
        <v>25696.13</v>
      </c>
      <c r="M52" s="39"/>
      <c r="N52" s="43">
        <v>25696.13</v>
      </c>
      <c r="O52" s="40">
        <v>1586506.9</v>
      </c>
      <c r="P52" s="44">
        <v>-58820.58</v>
      </c>
      <c r="Q52" s="45">
        <v>1527686.3199999998</v>
      </c>
    </row>
    <row r="53" spans="1:17">
      <c r="A53" s="38"/>
      <c r="B53" s="39"/>
      <c r="C53" s="39"/>
      <c r="D53" s="39"/>
      <c r="E53" s="39"/>
      <c r="F53" s="39"/>
      <c r="G53" s="40"/>
      <c r="H53" s="39"/>
      <c r="I53" s="41"/>
      <c r="J53" s="39"/>
      <c r="K53" s="42"/>
      <c r="L53" s="39"/>
      <c r="M53" s="39"/>
      <c r="N53" s="43"/>
      <c r="O53" s="40"/>
      <c r="P53" s="44"/>
      <c r="Q53" s="45"/>
    </row>
    <row r="54" spans="1:17">
      <c r="A54" s="38" t="s">
        <v>107</v>
      </c>
      <c r="B54" s="39">
        <v>4646104.0599999996</v>
      </c>
      <c r="C54" s="39">
        <v>2338647.77</v>
      </c>
      <c r="D54" s="39">
        <v>283752</v>
      </c>
      <c r="E54" s="39">
        <v>197748.09</v>
      </c>
      <c r="F54" s="39">
        <v>241231.13</v>
      </c>
      <c r="G54" s="40">
        <v>7707483.0499999998</v>
      </c>
      <c r="H54" s="39">
        <v>0</v>
      </c>
      <c r="I54" s="41" t="s">
        <v>303</v>
      </c>
      <c r="J54" s="39"/>
      <c r="K54" s="42">
        <v>0</v>
      </c>
      <c r="L54" s="39">
        <v>198207.18</v>
      </c>
      <c r="M54" s="39"/>
      <c r="N54" s="43">
        <v>198207.18</v>
      </c>
      <c r="O54" s="40">
        <v>7905690.2299999995</v>
      </c>
      <c r="P54" s="44">
        <v>-1528668.18</v>
      </c>
      <c r="Q54" s="45">
        <v>6377022.0499999998</v>
      </c>
    </row>
    <row r="55" spans="1:17">
      <c r="A55" s="38"/>
      <c r="B55" s="39"/>
      <c r="C55" s="39"/>
      <c r="D55" s="39"/>
      <c r="E55" s="39"/>
      <c r="F55" s="39"/>
      <c r="G55" s="40"/>
      <c r="H55" s="39"/>
      <c r="I55" s="41"/>
      <c r="J55" s="39"/>
      <c r="K55" s="42"/>
      <c r="L55" s="39"/>
      <c r="M55" s="39"/>
      <c r="N55" s="43"/>
      <c r="O55" s="40"/>
      <c r="P55" s="44"/>
      <c r="Q55" s="45"/>
    </row>
    <row r="56" spans="1:17">
      <c r="A56" s="38" t="s">
        <v>304</v>
      </c>
      <c r="B56" s="39"/>
      <c r="C56" s="39"/>
      <c r="D56" s="39"/>
      <c r="E56" s="39"/>
      <c r="F56" s="39"/>
      <c r="G56" s="40"/>
      <c r="H56" s="39"/>
      <c r="I56" s="41"/>
      <c r="J56" s="39"/>
      <c r="K56" s="42"/>
      <c r="L56" s="39"/>
      <c r="M56" s="39"/>
      <c r="N56" s="43">
        <v>0</v>
      </c>
      <c r="O56" s="40">
        <v>0</v>
      </c>
      <c r="P56" s="44"/>
      <c r="Q56" s="45">
        <v>0</v>
      </c>
    </row>
    <row r="57" spans="1:17">
      <c r="A57" s="46" t="s">
        <v>305</v>
      </c>
      <c r="B57" s="47">
        <v>21885797.589999996</v>
      </c>
      <c r="C57" s="47">
        <v>12164614.790000001</v>
      </c>
      <c r="D57" s="47">
        <v>283752</v>
      </c>
      <c r="E57" s="47">
        <v>620307.19000000006</v>
      </c>
      <c r="F57" s="47">
        <v>756707.16999999993</v>
      </c>
      <c r="G57" s="48">
        <v>35711178.740000002</v>
      </c>
      <c r="H57" s="47">
        <v>1843320.5899999999</v>
      </c>
      <c r="I57" s="47">
        <v>2445502.2400000002</v>
      </c>
      <c r="J57" s="47"/>
      <c r="K57" s="48">
        <v>4288822.83</v>
      </c>
      <c r="L57" s="47">
        <v>954452.95</v>
      </c>
      <c r="M57" s="47">
        <v>0</v>
      </c>
      <c r="N57" s="49">
        <v>954452.95</v>
      </c>
      <c r="O57" s="48">
        <v>40954454.520000003</v>
      </c>
      <c r="P57" s="50">
        <v>-3865752.54</v>
      </c>
      <c r="Q57" s="51">
        <v>37088701.980000004</v>
      </c>
    </row>
  </sheetData>
  <pageMargins left="0.7" right="0.7" top="0.75" bottom="0.75" header="0.3" footer="0.3"/>
  <pageSetup paperSize="9" orientation="landscape" r:id="rId1"/>
  <rowBreaks count="1" manualBreakCount="1">
    <brk id="30"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1da99d3e-faaa-4ce4-8b4f-16ed2267dee5">
      <UserInfo>
        <DisplayName>Nermin Mesic</DisplayName>
        <AccountId>42</AccountId>
        <AccountType/>
      </UserInfo>
      <UserInfo>
        <DisplayName>Robert Lönnqvist</DisplayName>
        <AccountId>13</AccountId>
        <AccountType/>
      </UserInfo>
      <UserInfo>
        <DisplayName>Theresia Sjöberg</DisplayName>
        <AccountId>15</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2E9E89DCB1A2C741A0CEC88E67F14E6B" ma:contentTypeVersion="6" ma:contentTypeDescription="Skapa ett nytt dokument." ma:contentTypeScope="" ma:versionID="b55e726892de338d0d8f2969f4040141">
  <xsd:schema xmlns:xsd="http://www.w3.org/2001/XMLSchema" xmlns:xs="http://www.w3.org/2001/XMLSchema" xmlns:p="http://schemas.microsoft.com/office/2006/metadata/properties" xmlns:ns2="52257d9a-15cf-4baa-9f13-9d0e81281ec9" xmlns:ns3="1da99d3e-faaa-4ce4-8b4f-16ed2267dee5" targetNamespace="http://schemas.microsoft.com/office/2006/metadata/properties" ma:root="true" ma:fieldsID="bba56e8d006f30ebe39cb4217204df1b" ns2:_="" ns3:_="">
    <xsd:import namespace="52257d9a-15cf-4baa-9f13-9d0e81281ec9"/>
    <xsd:import namespace="1da99d3e-faaa-4ce4-8b4f-16ed2267dee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257d9a-15cf-4baa-9f13-9d0e81281ec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da99d3e-faaa-4ce4-8b4f-16ed2267dee5" elementFormDefault="qualified">
    <xsd:import namespace="http://schemas.microsoft.com/office/2006/documentManagement/types"/>
    <xsd:import namespace="http://schemas.microsoft.com/office/infopath/2007/PartnerControls"/>
    <xsd:element name="SharedWithUsers" ma:index="12"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lat med informa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67B1BE-C225-4013-A077-9F3F933846A8}">
  <ds:schemaRefs>
    <ds:schemaRef ds:uri="http://schemas.microsoft.com/sharepoint/v3/contenttype/forms"/>
  </ds:schemaRefs>
</ds:datastoreItem>
</file>

<file path=customXml/itemProps2.xml><?xml version="1.0" encoding="utf-8"?>
<ds:datastoreItem xmlns:ds="http://schemas.openxmlformats.org/officeDocument/2006/customXml" ds:itemID="{72175048-F24B-49AD-BB88-A29671497D62}">
  <ds:schemaRefs>
    <ds:schemaRef ds:uri="http://schemas.microsoft.com/office/infopath/2007/PartnerControls"/>
    <ds:schemaRef ds:uri="1da99d3e-faaa-4ce4-8b4f-16ed2267dee5"/>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52257d9a-15cf-4baa-9f13-9d0e81281ec9"/>
    <ds:schemaRef ds:uri="http://www.w3.org/XML/1998/namespace"/>
    <ds:schemaRef ds:uri="http://purl.org/dc/dcmitype/"/>
  </ds:schemaRefs>
</ds:datastoreItem>
</file>

<file path=customXml/itemProps3.xml><?xml version="1.0" encoding="utf-8"?>
<ds:datastoreItem xmlns:ds="http://schemas.openxmlformats.org/officeDocument/2006/customXml" ds:itemID="{5595E832-EF70-432D-82E7-4966F27A9A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257d9a-15cf-4baa-9f13-9d0e81281ec9"/>
    <ds:schemaRef ds:uri="1da99d3e-faaa-4ce4-8b4f-16ed2267de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27</vt:i4>
      </vt:variant>
      <vt:variant>
        <vt:lpstr>Namngivna områden</vt:lpstr>
      </vt:variant>
      <vt:variant>
        <vt:i4>19</vt:i4>
      </vt:variant>
    </vt:vector>
  </HeadingPairs>
  <TitlesOfParts>
    <vt:vector size="46" baseType="lpstr">
      <vt:lpstr>Versioner</vt:lpstr>
      <vt:lpstr>Tabell 330</vt:lpstr>
      <vt:lpstr>Överföringar totalt</vt:lpstr>
      <vt:lpstr>Lsandelar totalt</vt:lpstr>
      <vt:lpstr>Kompensationer år 2024</vt:lpstr>
      <vt:lpstr>Statistik</vt:lpstr>
      <vt:lpstr>Olika tabeller</vt:lpstr>
      <vt:lpstr>Lsandelar jmf</vt:lpstr>
      <vt:lpstr>Övergång</vt:lpstr>
      <vt:lpstr>Skattekomplettering</vt:lpstr>
      <vt:lpstr>Skattekompl data</vt:lpstr>
      <vt:lpstr>Basbelopp</vt:lpstr>
      <vt:lpstr>Skola, STR &amp; Spcfr</vt:lpstr>
      <vt:lpstr>Skola data</vt:lpstr>
      <vt:lpstr>STR</vt:lpstr>
      <vt:lpstr>Förb</vt:lpstr>
      <vt:lpstr>Grvux</vt:lpstr>
      <vt:lpstr>Specialfritids</vt:lpstr>
      <vt:lpstr>Barnomsorg</vt:lpstr>
      <vt:lpstr>Sociala</vt:lpstr>
      <vt:lpstr>Socvård+barnomsorg data</vt:lpstr>
      <vt:lpstr>Soctjänst data</vt:lpstr>
      <vt:lpstr>Kultur&amp;Medis</vt:lpstr>
      <vt:lpstr>K&amp;M data</vt:lpstr>
      <vt:lpstr>Invånare</vt:lpstr>
      <vt:lpstr>Basbeloppsberäkning </vt:lpstr>
      <vt:lpstr>Index-beskrivning</vt:lpstr>
      <vt:lpstr>Barnomsorg!Utskriftsområde</vt:lpstr>
      <vt:lpstr>Basbelopp!Utskriftsområde</vt:lpstr>
      <vt:lpstr>Förb!Utskriftsområde</vt:lpstr>
      <vt:lpstr>Grvux!Utskriftsområde</vt:lpstr>
      <vt:lpstr>Invånare!Utskriftsområde</vt:lpstr>
      <vt:lpstr>'K&amp;M data'!Utskriftsområde</vt:lpstr>
      <vt:lpstr>'Kultur&amp;Medis'!Utskriftsområde</vt:lpstr>
      <vt:lpstr>'Lsandelar jmf'!Utskriftsområde</vt:lpstr>
      <vt:lpstr>'Lsandelar totalt'!Utskriftsområde</vt:lpstr>
      <vt:lpstr>'Skattekompl data'!Utskriftsområde</vt:lpstr>
      <vt:lpstr>Skattekomplettering!Utskriftsområde</vt:lpstr>
      <vt:lpstr>'Skola data'!Utskriftsområde</vt:lpstr>
      <vt:lpstr>'Skola, STR &amp; Spcfr'!Utskriftsområde</vt:lpstr>
      <vt:lpstr>Sociala!Utskriftsområde</vt:lpstr>
      <vt:lpstr>'Socvård+barnomsorg data'!Utskriftsområde</vt:lpstr>
      <vt:lpstr>Specialfritids!Utskriftsområde</vt:lpstr>
      <vt:lpstr>STR!Utskriftsområde</vt:lpstr>
      <vt:lpstr>'Överföringar totalt'!Utskriftsområde</vt:lpstr>
      <vt:lpstr>Övergång!Utskriftsområde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Windows-användare</dc:creator>
  <cp:keywords/>
  <dc:description/>
  <cp:lastModifiedBy>Theresia Sjöberg</cp:lastModifiedBy>
  <cp:revision/>
  <dcterms:created xsi:type="dcterms:W3CDTF">2016-05-23T17:57:47Z</dcterms:created>
  <dcterms:modified xsi:type="dcterms:W3CDTF">2024-04-17T11:52:01Z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0x0101002E9E89DCB1A2C741A0CEC88E67F14E6B</vt:lpwstr>
  </property>
</Properties>
</file>